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45" windowHeight="4575" tabRatio="784" activeTab="3"/>
  </bookViews>
  <sheets>
    <sheet name="PLANILHA GERAL" sheetId="1" r:id="rId1"/>
    <sheet name="CRONOGRAMA GERAL" sheetId="4" r:id="rId2"/>
    <sheet name="QUANTITATIVO E MEMÓRIA DE PAVI." sheetId="5" r:id="rId3"/>
    <sheet name="Quant. Drenagem" sheetId="7" r:id="rId4"/>
  </sheets>
  <externalReferences>
    <externalReference r:id="rId5"/>
  </externalReferences>
  <definedNames>
    <definedName name="_xlnm.Print_Area" localSheetId="1">'CRONOGRAMA GERAL'!$B$2:$H$22</definedName>
    <definedName name="_xlnm.Print_Area" localSheetId="0">'PLANILHA GERAL'!$B$1:$J$56</definedName>
    <definedName name="_xlnm.Print_Area" localSheetId="2">'QUANTITATIVO E MEMÓRIA DE PAVI.'!$A$1:$AD$45</definedName>
  </definedNames>
  <calcPr calcId="124519"/>
</workbook>
</file>

<file path=xl/calcChain.xml><?xml version="1.0" encoding="utf-8"?>
<calcChain xmlns="http://schemas.openxmlformats.org/spreadsheetml/2006/main">
  <c r="B9" i="5"/>
  <c r="B10"/>
  <c r="K10" s="1"/>
  <c r="N10" s="1"/>
  <c r="H10" l="1"/>
  <c r="I10" s="1"/>
  <c r="J10" s="1"/>
  <c r="T10"/>
  <c r="W10" s="1"/>
  <c r="X10" s="1"/>
  <c r="Y10" s="1"/>
  <c r="S10"/>
  <c r="O10"/>
  <c r="R10"/>
  <c r="P10"/>
  <c r="L10"/>
  <c r="Q10"/>
  <c r="V10"/>
  <c r="F44" i="1" l="1"/>
  <c r="H9" i="5" l="1"/>
  <c r="B12"/>
  <c r="I48" i="1" l="1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5"/>
  <c r="I22"/>
  <c r="I20"/>
  <c r="I19"/>
  <c r="I18"/>
  <c r="I17"/>
  <c r="I16"/>
  <c r="I15"/>
  <c r="I12"/>
  <c r="J12" s="1"/>
  <c r="L17" i="7"/>
  <c r="I17"/>
  <c r="H17"/>
  <c r="G15"/>
  <c r="J27"/>
  <c r="F45" i="1"/>
  <c r="K9" i="5"/>
  <c r="N9" s="1"/>
  <c r="F9"/>
  <c r="I21" i="1" l="1"/>
  <c r="I26"/>
  <c r="J45"/>
  <c r="P9" i="5"/>
  <c r="O9"/>
  <c r="S9"/>
  <c r="B7" i="4"/>
  <c r="B11"/>
  <c r="H15"/>
  <c r="F48" i="1"/>
  <c r="J48" s="1"/>
  <c r="F47"/>
  <c r="J47" s="1"/>
  <c r="F46"/>
  <c r="J46" s="1"/>
  <c r="J44"/>
  <c r="F43"/>
  <c r="J43" s="1"/>
  <c r="J31" i="7"/>
  <c r="F42" i="1" s="1"/>
  <c r="J42" s="1"/>
  <c r="F41"/>
  <c r="J41" s="1"/>
  <c r="D30" i="7"/>
  <c r="C30"/>
  <c r="D29"/>
  <c r="C29"/>
  <c r="C28"/>
  <c r="D27"/>
  <c r="C27"/>
  <c r="C26"/>
  <c r="C22"/>
  <c r="P21"/>
  <c r="P22" s="1"/>
  <c r="O21"/>
  <c r="O22" s="1"/>
  <c r="N21"/>
  <c r="N22" s="1"/>
  <c r="H21"/>
  <c r="L21" s="1"/>
  <c r="L22" s="1"/>
  <c r="F21"/>
  <c r="D15"/>
  <c r="C15"/>
  <c r="D14"/>
  <c r="C14"/>
  <c r="C13"/>
  <c r="C12"/>
  <c r="C11"/>
  <c r="O6"/>
  <c r="H6"/>
  <c r="F6"/>
  <c r="K6" s="1"/>
  <c r="P5"/>
  <c r="O5"/>
  <c r="N5"/>
  <c r="F5"/>
  <c r="K5" s="1"/>
  <c r="O4"/>
  <c r="F4"/>
  <c r="M28"/>
  <c r="H5" l="1"/>
  <c r="L5" s="1"/>
  <c r="M5"/>
  <c r="O7"/>
  <c r="F35" i="1" s="1"/>
  <c r="J35" s="1"/>
  <c r="G6" i="7"/>
  <c r="J6" s="1"/>
  <c r="R6" s="1"/>
  <c r="D31"/>
  <c r="I7"/>
  <c r="G4"/>
  <c r="P4"/>
  <c r="P6"/>
  <c r="Q6" s="1"/>
  <c r="I21"/>
  <c r="I22" s="1"/>
  <c r="M21"/>
  <c r="M22" s="1"/>
  <c r="Q21"/>
  <c r="Q22" s="1"/>
  <c r="K4"/>
  <c r="D16"/>
  <c r="N4"/>
  <c r="G5"/>
  <c r="J5" s="1"/>
  <c r="R5" s="1"/>
  <c r="N6"/>
  <c r="G21"/>
  <c r="J21" s="1"/>
  <c r="J22" s="1"/>
  <c r="K21"/>
  <c r="K22" s="1"/>
  <c r="S26"/>
  <c r="R28"/>
  <c r="H4"/>
  <c r="L4" s="1"/>
  <c r="M4"/>
  <c r="L6"/>
  <c r="C7"/>
  <c r="R26"/>
  <c r="Q5" l="1"/>
  <c r="S5" s="1"/>
  <c r="T5" s="1"/>
  <c r="J32"/>
  <c r="J29" i="1" s="1"/>
  <c r="T26" i="7"/>
  <c r="N7"/>
  <c r="F34" i="1" s="1"/>
  <c r="J34" s="1"/>
  <c r="L7" i="7"/>
  <c r="J4"/>
  <c r="R4" s="1"/>
  <c r="K7"/>
  <c r="M7"/>
  <c r="F36" i="1" s="1"/>
  <c r="J36" s="1"/>
  <c r="P7" i="7"/>
  <c r="F39" i="1" s="1"/>
  <c r="J39" s="1"/>
  <c r="M29" i="7"/>
  <c r="M27"/>
  <c r="S6"/>
  <c r="T6" s="1"/>
  <c r="Q4"/>
  <c r="S4" s="1"/>
  <c r="U12" i="5"/>
  <c r="AE12"/>
  <c r="N11"/>
  <c r="S11" s="1"/>
  <c r="L11"/>
  <c r="Q11" s="1"/>
  <c r="H11"/>
  <c r="I11" s="1"/>
  <c r="J11" s="1"/>
  <c r="T9"/>
  <c r="W9" s="1"/>
  <c r="H13" i="4"/>
  <c r="B13"/>
  <c r="H11"/>
  <c r="H9"/>
  <c r="B9"/>
  <c r="B6"/>
  <c r="P11" i="5" l="1"/>
  <c r="J13" i="1"/>
  <c r="D10" i="4" s="1"/>
  <c r="M26" i="7"/>
  <c r="F33" i="1" s="1"/>
  <c r="J33" s="1"/>
  <c r="F32"/>
  <c r="J32" s="1"/>
  <c r="T4" i="7"/>
  <c r="T7" s="1"/>
  <c r="F38" i="1" s="1"/>
  <c r="J38" s="1"/>
  <c r="S7" i="7"/>
  <c r="F37" i="1" s="1"/>
  <c r="J37" s="1"/>
  <c r="J7" i="7"/>
  <c r="F30" i="1" s="1"/>
  <c r="J30" s="1"/>
  <c r="Q7" i="7"/>
  <c r="F40" i="1" s="1"/>
  <c r="J40" s="1"/>
  <c r="R7" i="7"/>
  <c r="F31" i="1" s="1"/>
  <c r="J31" s="1"/>
  <c r="H17" i="4"/>
  <c r="F12" i="5"/>
  <c r="F15" i="1" s="1"/>
  <c r="J15" s="1"/>
  <c r="H12" i="5"/>
  <c r="I9"/>
  <c r="X9"/>
  <c r="R9"/>
  <c r="L9"/>
  <c r="V9"/>
  <c r="K12"/>
  <c r="F19" i="1" s="1"/>
  <c r="J19" s="1"/>
  <c r="T12" i="5"/>
  <c r="R11"/>
  <c r="O11"/>
  <c r="Y9" l="1"/>
  <c r="X12"/>
  <c r="F16" i="1"/>
  <c r="J16" s="1"/>
  <c r="I12" i="5"/>
  <c r="J9"/>
  <c r="J12" s="1"/>
  <c r="F17" i="1" s="1"/>
  <c r="J17" s="1"/>
  <c r="W12" i="5"/>
  <c r="J26" i="1" s="1"/>
  <c r="F10" i="4"/>
  <c r="G10"/>
  <c r="L12" i="5"/>
  <c r="F20" i="1" s="1"/>
  <c r="J20" s="1"/>
  <c r="N12" i="5"/>
  <c r="E10" i="4"/>
  <c r="J49" i="1"/>
  <c r="Q9" i="5"/>
  <c r="Q12" s="1"/>
  <c r="R12"/>
  <c r="AC12"/>
  <c r="F18" i="1"/>
  <c r="J18" s="1"/>
  <c r="P12" i="5"/>
  <c r="O12"/>
  <c r="F22" i="1" s="1"/>
  <c r="J22" s="1"/>
  <c r="S12" i="5"/>
  <c r="V12"/>
  <c r="Y12"/>
  <c r="Z12" s="1"/>
  <c r="J25" i="1"/>
  <c r="F21" l="1"/>
  <c r="J21" s="1"/>
  <c r="D16" i="4"/>
  <c r="F16" s="1"/>
  <c r="H10"/>
  <c r="AD12" i="5"/>
  <c r="AB12"/>
  <c r="J23" i="1" l="1"/>
  <c r="D12" i="4" s="1"/>
  <c r="G16"/>
  <c r="E16"/>
  <c r="J27" i="1"/>
  <c r="E12" i="4" l="1"/>
  <c r="G12"/>
  <c r="F12"/>
  <c r="G14"/>
  <c r="J50" i="1"/>
  <c r="H16" i="4"/>
  <c r="D14"/>
  <c r="D18" s="1"/>
  <c r="D11" s="1"/>
  <c r="E14"/>
  <c r="E18" s="1"/>
  <c r="F14"/>
  <c r="H12" l="1"/>
  <c r="F18"/>
  <c r="G18"/>
  <c r="H14"/>
  <c r="H18" s="1"/>
  <c r="E17" s="1"/>
  <c r="D15"/>
  <c r="D13"/>
  <c r="D9"/>
  <c r="D17" l="1"/>
  <c r="F17"/>
  <c r="G17"/>
</calcChain>
</file>

<file path=xl/sharedStrings.xml><?xml version="1.0" encoding="utf-8"?>
<sst xmlns="http://schemas.openxmlformats.org/spreadsheetml/2006/main" count="367" uniqueCount="258">
  <si>
    <t>PLANILHA ORÇAMENTÁRIA DE CUSTOS</t>
  </si>
  <si>
    <t xml:space="preserve">PROPONENTE:     </t>
  </si>
  <si>
    <t>FOLHA Nº 01/01</t>
  </si>
  <si>
    <t>BDI</t>
  </si>
  <si>
    <t>ITEM</t>
  </si>
  <si>
    <t>CÓDIGO</t>
  </si>
  <si>
    <t>DESCRIÇÃO</t>
  </si>
  <si>
    <t>UNID.</t>
  </si>
  <si>
    <t>PREÇO UNIT. SEM BDI</t>
  </si>
  <si>
    <t>PREÇO UNIT. COM BDI</t>
  </si>
  <si>
    <t>TOTAL</t>
  </si>
  <si>
    <t>1.0</t>
  </si>
  <si>
    <t xml:space="preserve">INSTALAÇÕES INICIAIS DA OBRA </t>
  </si>
  <si>
    <t>74209/001</t>
  </si>
  <si>
    <t>FORNECIMENTO E COLOCAÇÃO DE PLACA DE OBRA EM CHAPA GALVANIZADA  - EM CHAPA GALVANIZADA 0,26 AFIXADAS COM REBITES 540 E PARAFUSOS 3/8, EM ESTRUTURA METÁLICA VIGA U 2" ENRIJECIDA COM METALON 20 X 20, SUPORTE EM EUCALIPTO AUTOCLAVADO PINTADAS NA FRENTE E NO VERSO COM FUNDO ANTICORROSIVO E TINTA AUTOMOTIVA. DE ACORDO COM IDENTIDADE VISUAL DO ÓRGÃO EXECUTOR</t>
  </si>
  <si>
    <t>m2</t>
  </si>
  <si>
    <t>SUBTOTAL</t>
  </si>
  <si>
    <t>2.0</t>
  </si>
  <si>
    <t>REGULARIZAÇÃO DO SUBLEITO COM PROCTOR NORMAL</t>
  </si>
  <si>
    <t>2.2</t>
  </si>
  <si>
    <t>m3</t>
  </si>
  <si>
    <t>2.4</t>
  </si>
  <si>
    <t>74151/001</t>
  </si>
  <si>
    <t>2.5</t>
  </si>
  <si>
    <t>TRANSPORTE DE MATERIAL DE JAZIDA PARA BASE  DMT DE 15 A 20 KM -VOLUME GEOMETRICO DMT=13Km</t>
  </si>
  <si>
    <t>m3xkm</t>
  </si>
  <si>
    <t>2.7</t>
  </si>
  <si>
    <t>EXECUÇÃO DE BASE DE SOLO ESTABILIZADO GRANULOMETRICAMENTE SEM MISTURA COM PROCTOR INTERMEDIÁRIO, INCLUINDO ESCAVAÇÃO, CARGA, DESCARGA, ESPALHAMENTO E COMPACTAÇÃO DO MATERIAL, EXCLUSIVE AQUISIÇÃO E TRANSPORTE DO MATERIAL</t>
  </si>
  <si>
    <t>2.8</t>
  </si>
  <si>
    <t>EXECUÇÃO DE IMPRIMAÇÃO COM MATERIAL BETUMINOSO, INCLUINDO FORNECIMENTO E TRANSPORTE DO MATERIAL BETUMINOSO DENTRO DO CANTEIRO DE OBRAS, EXCLUSIVE TRANSPORTE DO MATERIAL BETUMINOSO ATÉ A OBRA</t>
  </si>
  <si>
    <t>EXECUÇÃO DE PINTURA DE LIGAÇÃO COM MATERIAL BETUMINOSO, INCLUINDO FORNECIMENTO E TRANSPORTE DO MATERIAL BETUMINOSO DENTRO DO CANTEIRO DE OBRAS, EXCLUSIVE TRANSPORTE DO MATERIAL BETUMINOSO ATÉ A OBRA</t>
  </si>
  <si>
    <t>2.11</t>
  </si>
  <si>
    <t>Txkm</t>
  </si>
  <si>
    <t>3.0</t>
  </si>
  <si>
    <t>URBANIZAÇÃO E OBRAS COMPLEMENTARES</t>
  </si>
  <si>
    <t>3.1</t>
  </si>
  <si>
    <t>MEIO-FIO DE CONCRETO PRÉ-MOLDADO TIPO A - (12 X16,7 X 35) CM, INCLUSIVE ESCAVAÇÃO E REATERRO</t>
  </si>
  <si>
    <t>m</t>
  </si>
  <si>
    <t>3.2</t>
  </si>
  <si>
    <t>DRE-SAR-005</t>
  </si>
  <si>
    <t xml:space="preserve">      </t>
  </si>
  <si>
    <t>CRONOGRAMA FÍSICO-FINANCEIRO</t>
  </si>
  <si>
    <t>ETAPAS</t>
  </si>
  <si>
    <t>Físico / Financeiro</t>
  </si>
  <si>
    <t>Total</t>
  </si>
  <si>
    <t>Físico %</t>
  </si>
  <si>
    <t>Financeiro</t>
  </si>
  <si>
    <t>PLANILHA DE CÁLCULO DE QUANTITATIVOS DE PAVIMENTAÇÃO</t>
  </si>
  <si>
    <t>PREVISÃO DAS VIAS</t>
  </si>
  <si>
    <t>Extensão (m)</t>
  </si>
  <si>
    <t>DIMENSÕES DA SEÇÃO</t>
  </si>
  <si>
    <t>BASE</t>
  </si>
  <si>
    <t>PAVIMENTO EM C.B.U.Q</t>
  </si>
  <si>
    <t>SERVIÇOS COMPLEMENTARES</t>
  </si>
  <si>
    <t xml:space="preserve">Extensão bruta </t>
  </si>
  <si>
    <t>Deduções</t>
  </si>
  <si>
    <t>Extensão de Cálculo EC</t>
  </si>
  <si>
    <t xml:space="preserve">Sarjeta </t>
  </si>
  <si>
    <t>Meio-fio</t>
  </si>
  <si>
    <t>Calçada</t>
  </si>
  <si>
    <t>Espessura da Calçada</t>
  </si>
  <si>
    <t>Aterro              ( Estimado)</t>
  </si>
  <si>
    <t>LP</t>
  </si>
  <si>
    <t xml:space="preserve">LC </t>
  </si>
  <si>
    <t>LS</t>
  </si>
  <si>
    <t>REG</t>
  </si>
  <si>
    <t>EB</t>
  </si>
  <si>
    <t>VB</t>
  </si>
  <si>
    <t>VEJ</t>
  </si>
  <si>
    <t>TRMJ</t>
  </si>
  <si>
    <t>IMP</t>
  </si>
  <si>
    <t>P.L</t>
  </si>
  <si>
    <t>EP</t>
  </si>
  <si>
    <t>C.B.U.Q</t>
  </si>
  <si>
    <t>TRCBUQ</t>
  </si>
  <si>
    <t>TRMBU CAP20</t>
  </si>
  <si>
    <t>TRMBO CM30 RR2C</t>
  </si>
  <si>
    <t>TRAAR</t>
  </si>
  <si>
    <t>TRABR</t>
  </si>
  <si>
    <t>(m)</t>
  </si>
  <si>
    <t>(m3)</t>
  </si>
  <si>
    <t>(m3xkm)</t>
  </si>
  <si>
    <t xml:space="preserve"> (m2)</t>
  </si>
  <si>
    <t>(Txkm)</t>
  </si>
  <si>
    <t>(m2)</t>
  </si>
  <si>
    <t>CONVENÇÃO</t>
  </si>
  <si>
    <t>CÁLCULOS</t>
  </si>
  <si>
    <t>LARGURA DA PISTA INCLUSIVE SARJETA</t>
  </si>
  <si>
    <t>VB =REG x EB</t>
  </si>
  <si>
    <t>LARGURA DA CALÇADA</t>
  </si>
  <si>
    <t>VEJ= VB</t>
  </si>
  <si>
    <t>LARGURA DA SARJETA</t>
  </si>
  <si>
    <t xml:space="preserve">TRMJ = VEJ X DMTMJ </t>
  </si>
  <si>
    <t>ESPESSURA DA BASE</t>
  </si>
  <si>
    <t>IMPRIMAÇÃO = [LP -(2 X LS)] X Extensão</t>
  </si>
  <si>
    <t xml:space="preserve">VOLUME DA BASE </t>
  </si>
  <si>
    <t>PINTURA DE LIGAÇÃO  = IMPRIMAÇÃO</t>
  </si>
  <si>
    <t>VOLUME DE ESCAVAÇÃO DE MATERIAL EM JAZIDA</t>
  </si>
  <si>
    <t xml:space="preserve">C.B.U.Q = IMPRIMAÇÃO x EP </t>
  </si>
  <si>
    <t>IMPRIMAÇÃO</t>
  </si>
  <si>
    <t>TRCBUQ = C.B.U.Q  x DMTCBUQ x DENSIDADE DO C.B.U.Q</t>
  </si>
  <si>
    <t>PINTURA DE LIGAÇÃO</t>
  </si>
  <si>
    <t>PL</t>
  </si>
  <si>
    <t>TRMBU = C.B.U.Q  x A x DMTMBU</t>
  </si>
  <si>
    <t>TRANSPORTE DE MATERIAL  DA JAZIDA ATÉ A OBRA</t>
  </si>
  <si>
    <t>TRMBO = ( IMP x B + PL x C)x DMTMBO</t>
  </si>
  <si>
    <t>ESPESSURA DO PAVIMENTO</t>
  </si>
  <si>
    <t>TRAAR = C.B.U.Q x D  x DMTAR</t>
  </si>
  <si>
    <t>CONCRETO BETUMINOSO USINADO A QUENTE</t>
  </si>
  <si>
    <t>TRABR = C.B.U.Q x  E x DMTBR</t>
  </si>
  <si>
    <t>TRANSPORTE DO C.B.U.Q ATÉ A OBRA</t>
  </si>
  <si>
    <t>CONSIDERAÇÕES</t>
  </si>
  <si>
    <t>TRANSP. DE MATERIAL BETUMINOSO (CAP-20) ATÉ A USINA</t>
  </si>
  <si>
    <t>TRMBU</t>
  </si>
  <si>
    <t>DMTMJ = Distância Média de transporte do material de Jazida em Km =</t>
  </si>
  <si>
    <t>TRANSP. DE MATERIAL BETUMINOSO (RR-2C/CM30) ATÉ A OBRA</t>
  </si>
  <si>
    <t>TRMBO</t>
  </si>
  <si>
    <t>DMTCBUQ = Distância Média de transporte do C.B.U.Q até a obra  em Km =</t>
  </si>
  <si>
    <t>TRANSPORTE DE AREIA ATÉ A USINA</t>
  </si>
  <si>
    <t>DMTMBU = Dist. Média de transporte do Mat. betuminoso até a usina  em Km =</t>
  </si>
  <si>
    <t>TRANSPORTE DE BRITA  ATÉ A USINA</t>
  </si>
  <si>
    <t>DMTMBO = Dist. Média de transporte do Mat. betuminoso até a obra  em Km =</t>
  </si>
  <si>
    <r>
      <rPr>
        <sz val="10"/>
        <rFont val="Arial"/>
        <charset val="134"/>
      </rPr>
      <t xml:space="preserve">REGULARIZAÇÃO DO SUBLEITO = </t>
    </r>
    <r>
      <rPr>
        <b/>
        <sz val="10"/>
        <rFont val="Arial"/>
        <charset val="134"/>
      </rPr>
      <t>LP X EXTENSÃO</t>
    </r>
  </si>
  <si>
    <t>DMTAR = Dist. Média de transporte de areia até a usina  em Km =</t>
  </si>
  <si>
    <t>DMTBR = Dist. Média de transporte de brita até a usina  em Km =</t>
  </si>
  <si>
    <t>A = consumo de material betuminoso em T/m3 de C.B.U.Q – CAP 20</t>
  </si>
  <si>
    <t>B = consumo de material betuminoso em T/m2 de IMPRIMAÇÃO</t>
  </si>
  <si>
    <t>C = consumo de material betuminoso em T/m2 de P. LIGAÇÃO</t>
  </si>
  <si>
    <t>D = consumo de areia em m3/m3 de C.B.U.Q</t>
  </si>
  <si>
    <t>E = consumo de brita em m3/m3 de C.B.U.Q</t>
  </si>
  <si>
    <t>Densidade do C.B.U.Q (T/m3)</t>
  </si>
  <si>
    <t>2.3</t>
  </si>
  <si>
    <t>2.6</t>
  </si>
  <si>
    <t>UNI.</t>
  </si>
  <si>
    <t>QUANT.</t>
  </si>
  <si>
    <t>TACHÃO</t>
  </si>
  <si>
    <t>M</t>
  </si>
  <si>
    <t>FAIXAS LINEARES</t>
  </si>
  <si>
    <t>FAIXAS PEDESTRES</t>
  </si>
  <si>
    <t>M2</t>
  </si>
  <si>
    <t>1.1</t>
  </si>
  <si>
    <t>BIMESTRE 01</t>
  </si>
  <si>
    <t>BIMESTRE 02</t>
  </si>
  <si>
    <t>BIMESTRE 03</t>
  </si>
  <si>
    <t>ESCAVAÇÃO MECÂNICA DE VALAS COM DESCARGA EM CAMINHÃO 1,50 M &lt; H &lt;= 3,00 M</t>
  </si>
  <si>
    <t>CONCRETO PARA BERÇO DE REDE TUBULAR TRAÇO 1:4,5:4,5, INCLUSIVE LANÇAMENTO</t>
  </si>
  <si>
    <t>REATERRO MANUAL DE VALA</t>
  </si>
  <si>
    <t>ATERRO COMPACTADO COM PLACA VIBRATÓRIA</t>
  </si>
  <si>
    <t>DRE-POÇ-025</t>
  </si>
  <si>
    <t>POÇO DE VISITA TIPO A D = 800 MM</t>
  </si>
  <si>
    <t>DRE-CHA-005</t>
  </si>
  <si>
    <t>CHAMINÉ DE POÇO DE VISITA TIPO B, EM ANEL DE CONCRETO CA-1</t>
  </si>
  <si>
    <t>DRE-TAM-005</t>
  </si>
  <si>
    <t>TAMPÃO DE FERRO FUNDIDO PARA POÇO DE VISITA 1:3</t>
  </si>
  <si>
    <t>DRE-TUB-045</t>
  </si>
  <si>
    <t>FORNECIMENTO, ASSENTAMENTO E REJUNTAMENTO DE TUBO DE CONCRETO ARMADO PA1 D=400MM</t>
  </si>
  <si>
    <t>DRE-TUB-080</t>
  </si>
  <si>
    <t>FORNECIMENTO, ASSENTAMENTO E REJUNTAMENTO DE TUBO DE CONCRETO ARMADO PA1 D=800MM</t>
  </si>
  <si>
    <t>DRE-BOC-010</t>
  </si>
  <si>
    <t>BOCA DE LOBO SIMPLES (TIPO B), QUADRO, GRELHA E CANTONEIRA DE CONCRETO</t>
  </si>
  <si>
    <t>DRE-BOC-015</t>
  </si>
  <si>
    <t>BOCA DE LOBO DUPLA (TIPO B), QUADRO, GRELHA E CANTONEIRA DE CONCRETO</t>
  </si>
  <si>
    <t xml:space="preserve">PLANILHA DE CÁLCULO DE QUANTITATIVOS - DRENAGEM PLUVIAL </t>
  </si>
  <si>
    <t>Trecho</t>
  </si>
  <si>
    <t>DN (m)</t>
  </si>
  <si>
    <t>Profundidade (m)</t>
  </si>
  <si>
    <t>Largura da Vala (m)</t>
  </si>
  <si>
    <t>Remoção de Paralelepípedo (m2)</t>
  </si>
  <si>
    <t>Volume de escavação (m3)</t>
  </si>
  <si>
    <t>Apiloamento de fundo (m2)</t>
  </si>
  <si>
    <t>Escoramento (m2)</t>
  </si>
  <si>
    <t>Berco de concreto (m3)</t>
  </si>
  <si>
    <t>Forma (m2)</t>
  </si>
  <si>
    <t>Reaterro Manual (m3)</t>
  </si>
  <si>
    <t>Reaterro comp. Mecânica (m3)</t>
  </si>
  <si>
    <t>Bota-Fora (m3)</t>
  </si>
  <si>
    <t>Escavação em Jazida (m3)</t>
  </si>
  <si>
    <t>Transporte até obra (DMT=5KM) (m3xkm)</t>
  </si>
  <si>
    <t>Montante</t>
  </si>
  <si>
    <t>Jusante</t>
  </si>
  <si>
    <t>Média</t>
  </si>
  <si>
    <t>prof. Escavação</t>
  </si>
  <si>
    <t>Prof. Até 3m</t>
  </si>
  <si>
    <t>Prof. De 3 a 5</t>
  </si>
  <si>
    <t>1-1</t>
  </si>
  <si>
    <t>QTDE DE TUBULAÇÃO</t>
  </si>
  <si>
    <t xml:space="preserve">DN </t>
  </si>
  <si>
    <t>L (m)</t>
  </si>
  <si>
    <t>mm</t>
  </si>
  <si>
    <t>DN 800</t>
  </si>
  <si>
    <t>DN 400</t>
  </si>
  <si>
    <t>Comprimento dn 800</t>
  </si>
  <si>
    <t>Lastro de brita</t>
  </si>
  <si>
    <t>Volume dos tubos</t>
  </si>
  <si>
    <t>Comprimento dn 400</t>
  </si>
  <si>
    <t>berço</t>
  </si>
  <si>
    <t>BLS</t>
  </si>
  <si>
    <t>Formas</t>
  </si>
  <si>
    <t>Asfalto</t>
  </si>
  <si>
    <t>BLD</t>
  </si>
  <si>
    <t>Escoramento</t>
  </si>
  <si>
    <t>PV</t>
  </si>
  <si>
    <t>TRANSPORTE DE MATERIAL DE QUALQUER NATUREZA DMT = 1KM - Bota fora</t>
  </si>
  <si>
    <t>Chaminé</t>
  </si>
  <si>
    <t>DRENAGEM PLUVIAL</t>
  </si>
  <si>
    <t>4.0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</si>
  <si>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</si>
  <si>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</si>
  <si>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</si>
  <si>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</si>
  <si>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</si>
  <si>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</si>
  <si>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</si>
  <si>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</si>
  <si>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</si>
  <si>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</si>
  <si>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</si>
  <si>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</si>
  <si>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</si>
  <si>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</si>
  <si>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</si>
  <si>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</si>
  <si>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</si>
  <si>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</si>
  <si>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TOTAL GERAL</t>
  </si>
  <si>
    <t>PAVIMENTAÇÃO DE VIAS URBANAS  EM C.B.U.Q</t>
  </si>
  <si>
    <t>locação</t>
  </si>
  <si>
    <t>Locação</t>
  </si>
  <si>
    <t>LOCAÇÃO DE REDES</t>
  </si>
  <si>
    <t>um</t>
  </si>
  <si>
    <t>OBRA: PAVIMENTAÇÃO EM C.B.U.Q</t>
  </si>
  <si>
    <t>FORNECIMENTO, ASSENTAMENTO E REJUNTAMENTO DE TUBO DE CONCRETO ARMADO PA1 D=600MM</t>
  </si>
  <si>
    <t>DRE-TUB-055</t>
  </si>
  <si>
    <t>LOCAL: Diversos Logradouros</t>
  </si>
  <si>
    <t>PREFEITURA MUNICIPAL DE BOM SUCESSO</t>
  </si>
  <si>
    <t xml:space="preserve">OBRA: PAVIMENTAÇÃO  DE VIAS PÚBLICAS </t>
  </si>
  <si>
    <t>LOCAL: DIVERSOS LOGRADOUROS</t>
  </si>
  <si>
    <t>ESCAVAÇÃO E CARGA DE MATERIAL DE PRIMEIRA CATEGORIA PARA BASE - VOLUME GEOMÉTRICO - INCLUSIVE AQUISIÇÃO DO MATERIAL</t>
  </si>
  <si>
    <t>EXECUÇÃO DE PAVIMENTO COM APLICAÇÃO DE CONCRETO ASFÁLTICO, CAMADA DE ROLAMENTO - EXCLUSIVE CARGA E TRANSPORTE. AF_11/2019</t>
  </si>
  <si>
    <t xml:space="preserve"> PREPARO DE FUNDO DE VALA COM LARGURA MAIOR OU IGUAL A 1,5 M E MENOR QUE 2,5 M, EM LOCAL COM NÍVEL BAIXO DE INTERFERÊNCIA. AF_06/2016</t>
  </si>
  <si>
    <t xml:space="preserve"> LASTRO COM PREPARO DE FUNDO, LARGURA MAIOR OU IGUAL A 1,5 M, COM CAMADA DE AREIA, LANÇAMENTO MECANIZADO, EM LOCAL COM NÍVEL BAIXO DE INTERFERÊNCIA. AF_06/2016</t>
  </si>
  <si>
    <t>FORMA PARA BERÇO EM TABUA, INCLUSIVE DESFORMA</t>
  </si>
  <si>
    <t xml:space="preserve"> DRE-FOR-005</t>
  </si>
  <si>
    <t>SINAPI/SETOP</t>
  </si>
  <si>
    <t>ESCORAMENTO DE VALA, TIPO PONTALETEAMENTO, COM PROFUNDIDADE DE 1,5 A 3,0 M, LARGURA MAIOR OU IGUAL A 1,5 M E MENOR QUE 2,5 M, EM LOCAL COM NÍVEL BAIXO DE INTERFERÊNCIA. AF_06/2016</t>
  </si>
  <si>
    <t>ESCAVACAO E CARGA MATERIAL 1A CATEGORIA, UTILIZANDO TRATOR DE ESTEIRAS DE 110 A 160HP COM LAMINA, PESO OPERACIONAL * 13T E PA CARREGADEIRA COM 170 HP.</t>
  </si>
  <si>
    <t>TRANSPORTE COM CAMINHÃO BASCULANTE DE 6 M3, EM VIA URBANA PAVIMENTADA, DMT ATÉ 30 KM (UNIDADE: M3XKM). AF_01/2018</t>
  </si>
  <si>
    <t>4.19</t>
  </si>
  <si>
    <t>4.20</t>
  </si>
  <si>
    <t>TRANSPORTE DE PMF/CBUQ PARA CONSERVAÇÃO DMT ACIMA ATÉ 30 KM</t>
  </si>
  <si>
    <t>SARJETA  CONCRETO USINADO 50 CM DE LARGURA COM 5,00CM DE ALTURA - 50 X 5 CM, I = 3 %, PADRÃO DEOP-MG</t>
  </si>
  <si>
    <t>RESPONSÁVEL TÉCNICO</t>
  </si>
  <si>
    <t>ALERSON AMARAL RESENDE</t>
  </si>
  <si>
    <t>CREA/MG: 226.610/D</t>
  </si>
  <si>
    <t>Assinatura do Responsável Técnico: Alerson Amaral Resende CREA-MG 226.610/D  Local e Data: ________________________________</t>
  </si>
  <si>
    <t>PROPONENTE: PREFEITURA MUNICIPAL DE BOM SUCESSO</t>
  </si>
  <si>
    <t>DIVERSOS LOGRADOUROS
PAVIMENTAÇÃO</t>
  </si>
  <si>
    <t>DIVERSOS LOGRADOUROS
RECAPEAMENTO</t>
  </si>
</sst>
</file>

<file path=xl/styles.xml><?xml version="1.0" encoding="utf-8"?>
<styleSheet xmlns="http://schemas.openxmlformats.org/spreadsheetml/2006/main">
  <numFmts count="8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&quot;R$&quot;\ #,##0.00"/>
    <numFmt numFmtId="166" formatCode="0.000000000000"/>
    <numFmt numFmtId="167" formatCode="#,##0.000"/>
    <numFmt numFmtId="168" formatCode="#,##0.0000"/>
    <numFmt numFmtId="169" formatCode="0.0"/>
    <numFmt numFmtId="170" formatCode="&quot;R$ &quot;#,##0.00"/>
  </numFmts>
  <fonts count="20">
    <font>
      <sz val="11"/>
      <color theme="1"/>
      <name val="Calibri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6"/>
      <color theme="1"/>
      <name val="Arial"/>
      <charset val="134"/>
    </font>
    <font>
      <b/>
      <sz val="12"/>
      <color theme="0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00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6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4" fontId="7" fillId="0" borderId="0" applyFont="0" applyFill="0" applyBorder="0" applyAlignment="0" applyProtection="0"/>
  </cellStyleXfs>
  <cellXfs count="207">
    <xf numFmtId="0" fontId="0" fillId="0" borderId="0" xfId="0"/>
    <xf numFmtId="4" fontId="1" fillId="0" borderId="1" xfId="3" applyNumberForma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9" fontId="1" fillId="0" borderId="12" xfId="1" applyFont="1" applyBorder="1" applyAlignment="1">
      <alignment horizontal="center" vertical="center"/>
    </xf>
    <xf numFmtId="44" fontId="1" fillId="0" borderId="12" xfId="2" applyFont="1" applyBorder="1" applyAlignment="1">
      <alignment horizontal="center" vertical="center"/>
    </xf>
    <xf numFmtId="44" fontId="2" fillId="4" borderId="1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justify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9" fontId="2" fillId="6" borderId="12" xfId="1" applyFont="1" applyFill="1" applyBorder="1" applyAlignment="1">
      <alignment horizontal="center" vertical="center"/>
    </xf>
    <xf numFmtId="44" fontId="1" fillId="6" borderId="12" xfId="2" applyFont="1" applyFill="1" applyBorder="1" applyAlignment="1">
      <alignment vertical="center"/>
    </xf>
    <xf numFmtId="9" fontId="2" fillId="4" borderId="12" xfId="0" applyNumberFormat="1" applyFont="1" applyFill="1" applyBorder="1" applyAlignment="1">
      <alignment horizontal="center" vertical="center"/>
    </xf>
    <xf numFmtId="44" fontId="2" fillId="4" borderId="12" xfId="0" applyNumberFormat="1" applyFont="1" applyFill="1" applyBorder="1" applyAlignment="1">
      <alignment vertical="center"/>
    </xf>
    <xf numFmtId="0" fontId="0" fillId="0" borderId="20" xfId="0" applyBorder="1"/>
    <xf numFmtId="167" fontId="1" fillId="0" borderId="1" xfId="3" applyNumberFormat="1" applyFont="1" applyBorder="1" applyAlignment="1">
      <alignment horizontal="center" vertical="center" wrapText="1"/>
    </xf>
    <xf numFmtId="168" fontId="1" fillId="0" borderId="1" xfId="3" applyNumberFormat="1" applyFont="1" applyBorder="1" applyAlignment="1">
      <alignment horizontal="center" vertical="center" wrapText="1"/>
    </xf>
    <xf numFmtId="4" fontId="1" fillId="0" borderId="1" xfId="3" applyNumberFormat="1" applyFont="1" applyBorder="1" applyAlignment="1">
      <alignment horizontal="center" vertical="center" wrapText="1"/>
    </xf>
    <xf numFmtId="4" fontId="1" fillId="0" borderId="1" xfId="3" applyNumberFormat="1" applyFont="1" applyBorder="1" applyAlignment="1">
      <alignment horizontal="center" vertical="center"/>
    </xf>
    <xf numFmtId="4" fontId="1" fillId="0" borderId="1" xfId="3" applyNumberFormat="1" applyFont="1" applyBorder="1" applyAlignment="1">
      <alignment vertical="center" wrapText="1"/>
    </xf>
    <xf numFmtId="4" fontId="1" fillId="0" borderId="1" xfId="3" applyNumberFormat="1" applyBorder="1" applyAlignment="1">
      <alignment horizontal="center" vertical="center" wrapText="1"/>
    </xf>
    <xf numFmtId="4" fontId="2" fillId="0" borderId="1" xfId="3" applyNumberFormat="1" applyFont="1" applyBorder="1" applyAlignment="1">
      <alignment horizontal="center" vertical="center" wrapText="1"/>
    </xf>
    <xf numFmtId="4" fontId="1" fillId="0" borderId="1" xfId="3" applyNumberFormat="1" applyBorder="1" applyAlignment="1">
      <alignment vertical="center" wrapText="1"/>
    </xf>
    <xf numFmtId="4" fontId="2" fillId="2" borderId="1" xfId="3" applyNumberFormat="1" applyFont="1" applyFill="1" applyBorder="1" applyAlignment="1">
      <alignment horizontal="center" vertical="center" wrapText="1"/>
    </xf>
    <xf numFmtId="164" fontId="0" fillId="0" borderId="0" xfId="0" applyNumberFormat="1"/>
    <xf numFmtId="10" fontId="1" fillId="5" borderId="12" xfId="1" applyNumberFormat="1" applyFont="1" applyFill="1" applyBorder="1" applyAlignment="1">
      <alignment horizontal="center" vertical="center"/>
    </xf>
    <xf numFmtId="10" fontId="0" fillId="0" borderId="0" xfId="0" applyNumberFormat="1"/>
    <xf numFmtId="4" fontId="1" fillId="0" borderId="1" xfId="3" applyNumberFormat="1" applyFont="1" applyBorder="1" applyAlignment="1">
      <alignment horizontal="left" vertical="center"/>
    </xf>
    <xf numFmtId="4" fontId="1" fillId="0" borderId="1" xfId="3" applyNumberFormat="1" applyFont="1" applyBorder="1" applyAlignment="1">
      <alignment horizontal="left" vertical="center" wrapText="1"/>
    </xf>
    <xf numFmtId="4" fontId="1" fillId="0" borderId="1" xfId="3" applyNumberFormat="1" applyBorder="1"/>
    <xf numFmtId="4" fontId="1" fillId="0" borderId="1" xfId="3" applyNumberFormat="1" applyBorder="1" applyAlignment="1">
      <alignment horizontal="left" vertical="center"/>
    </xf>
    <xf numFmtId="4" fontId="1" fillId="0" borderId="1" xfId="3" applyNumberFormat="1" applyBorder="1" applyAlignment="1">
      <alignment vertical="center"/>
    </xf>
    <xf numFmtId="4" fontId="10" fillId="0" borderId="1" xfId="3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2" fontId="12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2" fontId="12" fillId="0" borderId="0" xfId="0" applyNumberFormat="1" applyFont="1" applyAlignment="1">
      <alignment vertical="center" wrapText="1"/>
    </xf>
    <xf numFmtId="2" fontId="1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169" fontId="0" fillId="0" borderId="2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2" fontId="10" fillId="9" borderId="1" xfId="4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10" fillId="9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/>
    </xf>
    <xf numFmtId="170" fontId="2" fillId="4" borderId="12" xfId="0" applyNumberFormat="1" applyFont="1" applyFill="1" applyBorder="1" applyAlignment="1">
      <alignment horizontal="center" vertical="center"/>
    </xf>
    <xf numFmtId="10" fontId="1" fillId="0" borderId="12" xfId="0" applyNumberFormat="1" applyFont="1" applyBorder="1" applyAlignment="1">
      <alignment horizontal="center" vertical="center"/>
    </xf>
    <xf numFmtId="10" fontId="2" fillId="4" borderId="12" xfId="0" applyNumberFormat="1" applyFont="1" applyFill="1" applyBorder="1" applyAlignment="1">
      <alignment horizontal="center" vertical="center"/>
    </xf>
    <xf numFmtId="4" fontId="10" fillId="0" borderId="1" xfId="3" applyNumberFormat="1" applyFont="1" applyBorder="1" applyAlignment="1">
      <alignment horizontal="center" vertical="center" wrapText="1"/>
    </xf>
    <xf numFmtId="4" fontId="1" fillId="0" borderId="1" xfId="3" applyNumberFormat="1" applyBorder="1" applyAlignment="1">
      <alignment horizontal="center" vertical="center" wrapText="1"/>
    </xf>
    <xf numFmtId="4" fontId="1" fillId="0" borderId="1" xfId="3" applyNumberFormat="1" applyFont="1" applyBorder="1" applyAlignment="1">
      <alignment horizontal="center" vertical="center" wrapText="1"/>
    </xf>
    <xf numFmtId="4" fontId="1" fillId="0" borderId="1" xfId="3" applyNumberFormat="1" applyFont="1" applyBorder="1" applyAlignment="1">
      <alignment horizontal="center" vertical="center" wrapText="1"/>
    </xf>
    <xf numFmtId="1" fontId="0" fillId="0" borderId="0" xfId="0" applyNumberFormat="1" applyAlignment="1"/>
    <xf numFmtId="1" fontId="12" fillId="0" borderId="0" xfId="0" applyNumberFormat="1" applyFont="1" applyAlignment="1">
      <alignment vertical="center" wrapText="1"/>
    </xf>
    <xf numFmtId="2" fontId="12" fillId="0" borderId="0" xfId="0" applyNumberFormat="1" applyFont="1" applyAlignment="1">
      <alignment horizontal="center" wrapText="1"/>
    </xf>
    <xf numFmtId="4" fontId="1" fillId="0" borderId="1" xfId="3" applyNumberFormat="1" applyBorder="1" applyAlignment="1">
      <alignment horizontal="center" vertical="center" wrapText="1"/>
    </xf>
    <xf numFmtId="4" fontId="1" fillId="0" borderId="1" xfId="3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66" fontId="8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Border="1" applyAlignment="1">
      <alignment horizontal="justify" vertical="center"/>
    </xf>
    <xf numFmtId="0" fontId="9" fillId="0" borderId="2" xfId="0" applyFont="1" applyBorder="1" applyAlignment="1">
      <alignment vertical="center"/>
    </xf>
    <xf numFmtId="0" fontId="11" fillId="9" borderId="0" xfId="0" applyFont="1" applyFill="1" applyBorder="1" applyAlignment="1">
      <alignment horizontal="center" vertical="center" wrapText="1"/>
    </xf>
    <xf numFmtId="4" fontId="11" fillId="9" borderId="0" xfId="0" applyNumberFormat="1" applyFont="1" applyFill="1" applyBorder="1" applyAlignment="1">
      <alignment horizontal="center" vertical="center" wrapText="1"/>
    </xf>
    <xf numFmtId="2" fontId="11" fillId="9" borderId="0" xfId="4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vertical="center"/>
    </xf>
    <xf numFmtId="0" fontId="11" fillId="9" borderId="0" xfId="0" applyFont="1" applyFill="1" applyBorder="1" applyAlignment="1">
      <alignment horizontal="justify" vertical="center" wrapText="1"/>
    </xf>
    <xf numFmtId="0" fontId="16" fillId="0" borderId="0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center" vertical="center" wrapText="1"/>
    </xf>
    <xf numFmtId="0" fontId="8" fillId="11" borderId="1" xfId="0" applyFont="1" applyFill="1" applyBorder="1" applyAlignment="1">
      <alignment vertical="center"/>
    </xf>
    <xf numFmtId="0" fontId="8" fillId="11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vertical="center" wrapText="1"/>
    </xf>
    <xf numFmtId="165" fontId="9" fillId="11" borderId="1" xfId="2" applyNumberFormat="1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2" fontId="9" fillId="11" borderId="1" xfId="2" applyNumberFormat="1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vertical="center"/>
    </xf>
    <xf numFmtId="44" fontId="9" fillId="11" borderId="1" xfId="2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vertical="center"/>
    </xf>
    <xf numFmtId="0" fontId="11" fillId="12" borderId="1" xfId="0" applyFont="1" applyFill="1" applyBorder="1" applyAlignment="1">
      <alignment horizontal="center" vertical="center" wrapText="1"/>
    </xf>
    <xf numFmtId="2" fontId="11" fillId="12" borderId="1" xfId="4" applyNumberFormat="1" applyFont="1" applyFill="1" applyBorder="1" applyAlignment="1" applyProtection="1">
      <alignment horizontal="center" vertical="center" wrapText="1"/>
    </xf>
    <xf numFmtId="4" fontId="9" fillId="11" borderId="1" xfId="2" applyNumberFormat="1" applyFont="1" applyFill="1" applyBorder="1" applyAlignment="1">
      <alignment horizontal="center" vertical="center" wrapText="1"/>
    </xf>
    <xf numFmtId="0" fontId="11" fillId="12" borderId="25" xfId="0" applyFont="1" applyFill="1" applyBorder="1" applyAlignment="1">
      <alignment horizontal="center" vertical="center" wrapText="1"/>
    </xf>
    <xf numFmtId="4" fontId="11" fillId="12" borderId="25" xfId="0" applyNumberFormat="1" applyFont="1" applyFill="1" applyBorder="1" applyAlignment="1">
      <alignment horizontal="center" vertical="center" wrapText="1"/>
    </xf>
    <xf numFmtId="2" fontId="11" fillId="12" borderId="3" xfId="4" applyNumberFormat="1" applyFont="1" applyFill="1" applyBorder="1" applyAlignment="1" applyProtection="1">
      <alignment horizontal="center" vertical="center" wrapText="1"/>
    </xf>
    <xf numFmtId="4" fontId="11" fillId="12" borderId="1" xfId="0" applyNumberFormat="1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44" fontId="9" fillId="10" borderId="1" xfId="2" applyFont="1" applyFill="1" applyBorder="1" applyAlignment="1">
      <alignment horizontal="center" vertical="center" wrapText="1"/>
    </xf>
    <xf numFmtId="2" fontId="9" fillId="10" borderId="1" xfId="2" applyNumberFormat="1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vertical="center"/>
    </xf>
    <xf numFmtId="0" fontId="9" fillId="10" borderId="1" xfId="0" applyFont="1" applyFill="1" applyBorder="1" applyAlignment="1">
      <alignment horizontal="justify" vertical="center" wrapText="1"/>
    </xf>
    <xf numFmtId="44" fontId="9" fillId="10" borderId="1" xfId="2" applyFont="1" applyFill="1" applyBorder="1" applyAlignment="1">
      <alignment horizontal="justify" vertical="center" wrapText="1"/>
    </xf>
    <xf numFmtId="0" fontId="8" fillId="0" borderId="16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11" borderId="2" xfId="0" applyFont="1" applyFill="1" applyBorder="1" applyAlignment="1">
      <alignment vertical="center"/>
    </xf>
    <xf numFmtId="0" fontId="9" fillId="10" borderId="2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164" fontId="9" fillId="0" borderId="19" xfId="0" applyNumberFormat="1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6" xfId="0" applyFont="1" applyBorder="1" applyAlignment="1">
      <alignment horizontal="justify" vertical="center"/>
    </xf>
    <xf numFmtId="165" fontId="9" fillId="0" borderId="19" xfId="2" applyNumberFormat="1" applyFont="1" applyFill="1" applyBorder="1" applyAlignment="1">
      <alignment horizontal="center" vertical="center" wrapText="1"/>
    </xf>
    <xf numFmtId="4" fontId="1" fillId="0" borderId="1" xfId="3" applyNumberFormat="1" applyBorder="1" applyAlignment="1">
      <alignment horizontal="center" vertical="center" wrapText="1"/>
    </xf>
    <xf numFmtId="4" fontId="1" fillId="0" borderId="1" xfId="3" applyNumberFormat="1" applyFont="1" applyBorder="1" applyAlignment="1">
      <alignment horizontal="center" vertical="center" wrapText="1"/>
    </xf>
    <xf numFmtId="4" fontId="1" fillId="0" borderId="1" xfId="3" applyNumberFormat="1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left" vertical="center"/>
    </xf>
    <xf numFmtId="4" fontId="18" fillId="0" borderId="1" xfId="3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8" borderId="2" xfId="0" applyFont="1" applyFill="1" applyBorder="1" applyAlignment="1">
      <alignment horizontal="left" vertical="center" wrapText="1"/>
    </xf>
    <xf numFmtId="0" fontId="8" fillId="8" borderId="3" xfId="0" applyFont="1" applyFill="1" applyBorder="1" applyAlignment="1">
      <alignment horizontal="left" vertical="center" wrapText="1"/>
    </xf>
    <xf numFmtId="4" fontId="11" fillId="12" borderId="1" xfId="0" applyNumberFormat="1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right" vertical="center" wrapText="1"/>
    </xf>
    <xf numFmtId="0" fontId="11" fillId="12" borderId="25" xfId="0" applyFont="1" applyFill="1" applyBorder="1" applyAlignment="1">
      <alignment horizontal="justify" vertical="center" wrapText="1"/>
    </xf>
    <xf numFmtId="0" fontId="16" fillId="11" borderId="25" xfId="0" applyFont="1" applyFill="1" applyBorder="1" applyAlignment="1">
      <alignment horizontal="justify" vertical="center" wrapText="1"/>
    </xf>
    <xf numFmtId="0" fontId="10" fillId="9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0" fontId="9" fillId="10" borderId="1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5" fillId="7" borderId="2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9" fillId="8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10" borderId="1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left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justify" vertical="top" wrapText="1"/>
    </xf>
    <xf numFmtId="0" fontId="11" fillId="0" borderId="9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4" fontId="10" fillId="0" borderId="1" xfId="3" applyNumberFormat="1" applyFont="1" applyBorder="1" applyAlignment="1">
      <alignment horizontal="center" vertical="center" wrapText="1"/>
    </xf>
    <xf numFmtId="4" fontId="1" fillId="0" borderId="1" xfId="3" applyNumberFormat="1" applyBorder="1" applyAlignment="1">
      <alignment horizontal="center" vertical="center" wrapText="1"/>
    </xf>
    <xf numFmtId="4" fontId="1" fillId="0" borderId="1" xfId="3" applyNumberFormat="1" applyFont="1" applyBorder="1" applyAlignment="1">
      <alignment horizontal="center" vertical="center" wrapText="1"/>
    </xf>
    <xf numFmtId="4" fontId="1" fillId="0" borderId="1" xfId="3" applyNumberFormat="1" applyFont="1" applyBorder="1" applyAlignment="1">
      <alignment vertical="center" wrapText="1"/>
    </xf>
    <xf numFmtId="4" fontId="1" fillId="0" borderId="1" xfId="3" applyNumberFormat="1" applyFont="1" applyBorder="1" applyAlignment="1">
      <alignment horizontal="center" vertical="center"/>
    </xf>
    <xf numFmtId="4" fontId="2" fillId="0" borderId="1" xfId="3" applyNumberFormat="1" applyFont="1" applyBorder="1" applyAlignment="1">
      <alignment horizontal="center" vertical="center" wrapText="1"/>
    </xf>
    <xf numFmtId="4" fontId="1" fillId="0" borderId="1" xfId="3" applyNumberFormat="1" applyBorder="1" applyAlignment="1">
      <alignment vertical="center" wrapText="1"/>
    </xf>
    <xf numFmtId="4" fontId="2" fillId="2" borderId="1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2" xfId="0" applyFont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</cellXfs>
  <cellStyles count="5">
    <cellStyle name="Moeda" xfId="2" builtinId="4"/>
    <cellStyle name="Normal" xfId="0" builtinId="0"/>
    <cellStyle name="Normal 2" xfId="3"/>
    <cellStyle name="Porcentagem" xfId="1" builtinId="5"/>
    <cellStyle name="Separador de milhares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19050</xdr:rowOff>
    </xdr:from>
    <xdr:to>
      <xdr:col>9</xdr:col>
      <xdr:colOff>885825</xdr:colOff>
      <xdr:row>2</xdr:row>
      <xdr:rowOff>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9625" y="19050"/>
          <a:ext cx="8924925" cy="172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767290</xdr:colOff>
      <xdr:row>1</xdr:row>
      <xdr:rowOff>47640</xdr:rowOff>
    </xdr:from>
    <xdr:to>
      <xdr:col>7</xdr:col>
      <xdr:colOff>777876</xdr:colOff>
      <xdr:row>1</xdr:row>
      <xdr:rowOff>1549733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16540" y="301640"/>
          <a:ext cx="7757586" cy="1502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CO%2004.2019%20-%20PAVIMENTA&#199;&#195;O%20CAMPO%20BELO%20DIVERSOS\Planilha%20de%20Drenagem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DRENAGEM"/>
      <sheetName val="Cronograma Drenagem"/>
      <sheetName val="Quant. Drenagem"/>
      <sheetName val="largura da vala"/>
      <sheetName val="qtde berço"/>
    </sheetNames>
    <sheetDataSet>
      <sheetData sheetId="0"/>
      <sheetData sheetId="1"/>
      <sheetData sheetId="2">
        <row r="9">
          <cell r="C9">
            <v>140</v>
          </cell>
        </row>
        <row r="11">
          <cell r="C11">
            <v>40</v>
          </cell>
        </row>
      </sheetData>
      <sheetData sheetId="3">
        <row r="4">
          <cell r="A4">
            <v>0.3</v>
          </cell>
          <cell r="B4">
            <v>0.8</v>
          </cell>
          <cell r="C4">
            <v>0.9</v>
          </cell>
        </row>
        <row r="5">
          <cell r="A5">
            <v>0.4</v>
          </cell>
          <cell r="B5">
            <v>0.8</v>
          </cell>
          <cell r="C5">
            <v>0.9</v>
          </cell>
        </row>
        <row r="6">
          <cell r="A6">
            <v>0.6</v>
          </cell>
          <cell r="B6">
            <v>1</v>
          </cell>
          <cell r="C6">
            <v>1.3</v>
          </cell>
        </row>
        <row r="7">
          <cell r="A7">
            <v>0.8</v>
          </cell>
          <cell r="B7">
            <v>1.3</v>
          </cell>
          <cell r="C7">
            <v>1.6</v>
          </cell>
        </row>
        <row r="8">
          <cell r="A8">
            <v>1</v>
          </cell>
          <cell r="B8">
            <v>1.6</v>
          </cell>
          <cell r="C8">
            <v>1.9</v>
          </cell>
        </row>
        <row r="9">
          <cell r="A9">
            <v>1.2</v>
          </cell>
          <cell r="B9">
            <v>1.9</v>
          </cell>
          <cell r="C9">
            <v>2.2000000000000002</v>
          </cell>
        </row>
        <row r="10">
          <cell r="A10">
            <v>1.5</v>
          </cell>
          <cell r="B10">
            <v>2.4</v>
          </cell>
          <cell r="C10">
            <v>2.7</v>
          </cell>
        </row>
      </sheetData>
      <sheetData sheetId="4">
        <row r="5">
          <cell r="A5">
            <v>0.4</v>
          </cell>
          <cell r="B5">
            <v>12</v>
          </cell>
          <cell r="C5">
            <v>10</v>
          </cell>
          <cell r="D5">
            <v>6.5</v>
          </cell>
          <cell r="E5">
            <v>80</v>
          </cell>
          <cell r="F5">
            <v>0.8</v>
          </cell>
          <cell r="G5">
            <v>0.05</v>
          </cell>
          <cell r="H5">
            <v>0.25</v>
          </cell>
          <cell r="I5">
            <v>0.3</v>
          </cell>
        </row>
        <row r="6">
          <cell r="A6">
            <v>0.5</v>
          </cell>
          <cell r="B6">
            <v>15</v>
          </cell>
          <cell r="C6">
            <v>13</v>
          </cell>
          <cell r="D6">
            <v>9</v>
          </cell>
          <cell r="E6">
            <v>100</v>
          </cell>
          <cell r="F6">
            <v>1</v>
          </cell>
          <cell r="G6">
            <v>0.21</v>
          </cell>
          <cell r="H6">
            <v>0.56000000000000005</v>
          </cell>
          <cell r="I6">
            <v>0.39</v>
          </cell>
        </row>
        <row r="7">
          <cell r="A7">
            <v>0.6</v>
          </cell>
          <cell r="B7">
            <v>18</v>
          </cell>
          <cell r="C7">
            <v>15</v>
          </cell>
          <cell r="D7">
            <v>10.5</v>
          </cell>
          <cell r="E7">
            <v>100</v>
          </cell>
          <cell r="F7">
            <v>1</v>
          </cell>
          <cell r="G7">
            <v>0.25</v>
          </cell>
          <cell r="H7">
            <v>0.66</v>
          </cell>
          <cell r="I7">
            <v>0.41</v>
          </cell>
        </row>
        <row r="8">
          <cell r="A8">
            <v>0.7</v>
          </cell>
          <cell r="B8">
            <v>21</v>
          </cell>
          <cell r="C8">
            <v>18</v>
          </cell>
          <cell r="D8">
            <v>12.5</v>
          </cell>
          <cell r="E8">
            <v>110</v>
          </cell>
          <cell r="F8">
            <v>1.1000000000000001</v>
          </cell>
          <cell r="G8">
            <v>0.32</v>
          </cell>
          <cell r="H8">
            <v>0.78</v>
          </cell>
          <cell r="I8">
            <v>0.47</v>
          </cell>
        </row>
        <row r="9">
          <cell r="A9">
            <v>0.8</v>
          </cell>
          <cell r="B9">
            <v>24</v>
          </cell>
          <cell r="C9">
            <v>20</v>
          </cell>
          <cell r="D9">
            <v>12.5</v>
          </cell>
          <cell r="E9">
            <v>130</v>
          </cell>
          <cell r="F9">
            <v>1.3</v>
          </cell>
          <cell r="G9">
            <v>0.43</v>
          </cell>
          <cell r="H9">
            <v>0.88</v>
          </cell>
          <cell r="I9">
            <v>0.61</v>
          </cell>
        </row>
        <row r="10">
          <cell r="A10">
            <v>0.9</v>
          </cell>
          <cell r="B10">
            <v>27</v>
          </cell>
          <cell r="C10">
            <v>23</v>
          </cell>
          <cell r="D10">
            <v>15.5</v>
          </cell>
          <cell r="E10">
            <v>140</v>
          </cell>
          <cell r="F10">
            <v>1.4</v>
          </cell>
          <cell r="G10">
            <v>0.52</v>
          </cell>
          <cell r="H10">
            <v>1</v>
          </cell>
          <cell r="I10">
            <v>0.68</v>
          </cell>
        </row>
        <row r="11">
          <cell r="A11">
            <v>1</v>
          </cell>
          <cell r="B11">
            <v>30</v>
          </cell>
          <cell r="C11">
            <v>25</v>
          </cell>
          <cell r="D11">
            <v>15.5</v>
          </cell>
          <cell r="E11">
            <v>160</v>
          </cell>
          <cell r="F11">
            <v>1.6</v>
          </cell>
          <cell r="G11">
            <v>0.66</v>
          </cell>
          <cell r="H11">
            <v>1.1000000000000001</v>
          </cell>
          <cell r="I11">
            <v>0.85</v>
          </cell>
        </row>
        <row r="12">
          <cell r="A12">
            <v>1.1000000000000001</v>
          </cell>
          <cell r="B12">
            <v>33</v>
          </cell>
          <cell r="C12">
            <v>28</v>
          </cell>
          <cell r="D12">
            <v>18.5</v>
          </cell>
          <cell r="E12">
            <v>170</v>
          </cell>
          <cell r="F12">
            <v>1.7</v>
          </cell>
          <cell r="G12">
            <v>0.77</v>
          </cell>
          <cell r="H12">
            <v>1.22</v>
          </cell>
          <cell r="I12">
            <v>0.92</v>
          </cell>
        </row>
        <row r="13">
          <cell r="A13">
            <v>1.2</v>
          </cell>
          <cell r="B13">
            <v>36</v>
          </cell>
          <cell r="C13">
            <v>30</v>
          </cell>
          <cell r="D13">
            <v>20</v>
          </cell>
          <cell r="E13">
            <v>190</v>
          </cell>
          <cell r="F13">
            <v>1.9</v>
          </cell>
          <cell r="G13">
            <v>0.94</v>
          </cell>
          <cell r="H13">
            <v>1.32</v>
          </cell>
          <cell r="I13">
            <v>1.1200000000000001</v>
          </cell>
        </row>
        <row r="14">
          <cell r="A14">
            <v>1.3</v>
          </cell>
          <cell r="B14">
            <v>39</v>
          </cell>
          <cell r="C14">
            <v>33</v>
          </cell>
          <cell r="D14">
            <v>23</v>
          </cell>
          <cell r="E14">
            <v>200</v>
          </cell>
          <cell r="F14">
            <v>2</v>
          </cell>
          <cell r="G14">
            <v>1.07</v>
          </cell>
          <cell r="H14">
            <v>1.44</v>
          </cell>
          <cell r="I14">
            <v>1.21</v>
          </cell>
        </row>
        <row r="15">
          <cell r="A15">
            <v>1.5</v>
          </cell>
          <cell r="B15">
            <v>45</v>
          </cell>
          <cell r="C15">
            <v>38</v>
          </cell>
          <cell r="D15">
            <v>27</v>
          </cell>
          <cell r="E15">
            <v>240</v>
          </cell>
          <cell r="F15">
            <v>2.4</v>
          </cell>
          <cell r="G15">
            <v>1.5</v>
          </cell>
          <cell r="H15">
            <v>1.66</v>
          </cell>
          <cell r="I15">
            <v>1.89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showGridLines="0" zoomScaleSheetLayoutView="100" workbookViewId="0">
      <selection activeCell="F27" sqref="F27"/>
    </sheetView>
  </sheetViews>
  <sheetFormatPr defaultColWidth="9" defaultRowHeight="12.75"/>
  <cols>
    <col min="1" max="1" width="4.7109375" style="85" customWidth="1"/>
    <col min="2" max="2" width="6" style="80" customWidth="1"/>
    <col min="3" max="3" width="13.5703125" style="80" customWidth="1"/>
    <col min="4" max="4" width="8.42578125" style="80" customWidth="1"/>
    <col min="5" max="5" width="54.7109375" style="80" customWidth="1"/>
    <col min="6" max="6" width="11.140625" style="80" bestFit="1" customWidth="1"/>
    <col min="7" max="7" width="10.5703125" style="80" customWidth="1"/>
    <col min="8" max="8" width="11.85546875" style="80" customWidth="1"/>
    <col min="9" max="9" width="11.7109375" style="80" customWidth="1"/>
    <col min="10" max="10" width="19.140625" style="80" customWidth="1"/>
    <col min="11" max="11" width="29" style="80" customWidth="1"/>
    <col min="12" max="16384" width="9" style="80"/>
  </cols>
  <sheetData>
    <row r="1" spans="1:11">
      <c r="A1" s="81"/>
      <c r="B1" s="121"/>
      <c r="C1" s="91"/>
      <c r="D1" s="91"/>
      <c r="E1" s="91"/>
      <c r="F1" s="91"/>
      <c r="G1" s="91"/>
      <c r="H1" s="91"/>
      <c r="I1" s="91"/>
      <c r="J1" s="122"/>
    </row>
    <row r="2" spans="1:11" ht="124.5" customHeight="1">
      <c r="A2" s="81"/>
      <c r="B2" s="153"/>
      <c r="C2" s="154"/>
      <c r="D2" s="154"/>
      <c r="E2" s="154"/>
      <c r="F2" s="154"/>
      <c r="G2" s="154"/>
      <c r="H2" s="154"/>
      <c r="I2" s="154"/>
      <c r="J2" s="155"/>
    </row>
    <row r="3" spans="1:11">
      <c r="A3" s="117"/>
      <c r="B3" s="156" t="s">
        <v>0</v>
      </c>
      <c r="C3" s="156"/>
      <c r="D3" s="156"/>
      <c r="E3" s="156"/>
      <c r="F3" s="156"/>
      <c r="G3" s="156"/>
      <c r="H3" s="156"/>
      <c r="I3" s="156"/>
      <c r="J3" s="156"/>
    </row>
    <row r="4" spans="1:11">
      <c r="B4" s="134"/>
      <c r="C4" s="135"/>
      <c r="D4" s="135"/>
      <c r="E4" s="135"/>
      <c r="F4" s="135"/>
      <c r="G4" s="135"/>
      <c r="H4" s="135"/>
      <c r="I4" s="135"/>
      <c r="J4" s="136"/>
    </row>
    <row r="5" spans="1:11">
      <c r="B5" s="157" t="s">
        <v>1</v>
      </c>
      <c r="C5" s="157"/>
      <c r="D5" s="157"/>
      <c r="E5" s="158" t="s">
        <v>234</v>
      </c>
      <c r="F5" s="158"/>
      <c r="G5" s="158"/>
      <c r="H5" s="159" t="s">
        <v>2</v>
      </c>
      <c r="I5" s="159"/>
      <c r="J5" s="159"/>
    </row>
    <row r="6" spans="1:11">
      <c r="B6" s="159"/>
      <c r="C6" s="159"/>
      <c r="D6" s="159"/>
      <c r="E6" s="159"/>
      <c r="F6" s="159"/>
      <c r="G6" s="159"/>
      <c r="H6" s="159"/>
      <c r="I6" s="159"/>
      <c r="J6" s="159"/>
    </row>
    <row r="7" spans="1:11">
      <c r="B7" s="159" t="s">
        <v>235</v>
      </c>
      <c r="C7" s="159"/>
      <c r="D7" s="159"/>
      <c r="E7" s="159"/>
      <c r="F7" s="159"/>
      <c r="G7" s="159"/>
      <c r="H7" s="159"/>
      <c r="I7" s="159"/>
      <c r="J7" s="159"/>
    </row>
    <row r="8" spans="1:11">
      <c r="B8" s="159" t="s">
        <v>236</v>
      </c>
      <c r="C8" s="159"/>
      <c r="D8" s="159"/>
      <c r="E8" s="159"/>
      <c r="F8" s="159"/>
      <c r="G8" s="159"/>
      <c r="H8" s="77" t="s">
        <v>3</v>
      </c>
      <c r="I8" s="78">
        <v>0.27500000000000002</v>
      </c>
      <c r="J8" s="79"/>
    </row>
    <row r="9" spans="1:11" ht="12.75" customHeight="1">
      <c r="A9" s="118"/>
      <c r="B9" s="160" t="s">
        <v>4</v>
      </c>
      <c r="C9" s="77" t="s">
        <v>5</v>
      </c>
      <c r="D9" s="160" t="s">
        <v>6</v>
      </c>
      <c r="E9" s="160"/>
      <c r="F9" s="160" t="s">
        <v>134</v>
      </c>
      <c r="G9" s="161" t="s">
        <v>7</v>
      </c>
      <c r="H9" s="160" t="s">
        <v>8</v>
      </c>
      <c r="I9" s="160" t="s">
        <v>9</v>
      </c>
      <c r="J9" s="160" t="s">
        <v>10</v>
      </c>
    </row>
    <row r="10" spans="1:11" ht="25.5">
      <c r="A10" s="118"/>
      <c r="B10" s="160"/>
      <c r="C10" s="77" t="s">
        <v>243</v>
      </c>
      <c r="D10" s="160"/>
      <c r="E10" s="160"/>
      <c r="F10" s="160"/>
      <c r="G10" s="162"/>
      <c r="H10" s="160"/>
      <c r="I10" s="160"/>
      <c r="J10" s="160"/>
    </row>
    <row r="11" spans="1:11" s="84" customFormat="1">
      <c r="A11" s="87"/>
      <c r="B11" s="111" t="s">
        <v>11</v>
      </c>
      <c r="C11" s="111"/>
      <c r="D11" s="151" t="s">
        <v>12</v>
      </c>
      <c r="E11" s="151"/>
      <c r="F11" s="111"/>
      <c r="G11" s="111"/>
      <c r="H11" s="111"/>
      <c r="I11" s="111"/>
      <c r="J11" s="111"/>
    </row>
    <row r="12" spans="1:11" ht="90" customHeight="1">
      <c r="B12" s="76" t="s">
        <v>140</v>
      </c>
      <c r="C12" s="76" t="s">
        <v>13</v>
      </c>
      <c r="D12" s="149" t="s">
        <v>14</v>
      </c>
      <c r="E12" s="149"/>
      <c r="F12" s="60">
        <v>4</v>
      </c>
      <c r="G12" s="61" t="s">
        <v>15</v>
      </c>
      <c r="H12" s="62">
        <v>306.17</v>
      </c>
      <c r="I12" s="62">
        <f>ROUND(H12*(1+$I$8),2)</f>
        <v>390.37</v>
      </c>
      <c r="J12" s="62">
        <f>ROUND(I12*F12,2)</f>
        <v>1561.48</v>
      </c>
    </row>
    <row r="13" spans="1:11" s="95" customFormat="1">
      <c r="A13" s="119"/>
      <c r="B13" s="96"/>
      <c r="C13" s="96"/>
      <c r="D13" s="145" t="s">
        <v>16</v>
      </c>
      <c r="E13" s="145"/>
      <c r="F13" s="97"/>
      <c r="G13" s="97"/>
      <c r="H13" s="99"/>
      <c r="I13" s="99"/>
      <c r="J13" s="98">
        <f>SUM(J12:J12)</f>
        <v>1561.48</v>
      </c>
    </row>
    <row r="14" spans="1:11" s="114" customFormat="1">
      <c r="A14" s="120"/>
      <c r="B14" s="111" t="s">
        <v>17</v>
      </c>
      <c r="C14" s="111"/>
      <c r="D14" s="151" t="s">
        <v>225</v>
      </c>
      <c r="E14" s="163"/>
      <c r="F14" s="115"/>
      <c r="G14" s="115"/>
      <c r="H14" s="112"/>
      <c r="I14" s="112"/>
      <c r="J14" s="112"/>
    </row>
    <row r="15" spans="1:11">
      <c r="B15" s="76" t="s">
        <v>19</v>
      </c>
      <c r="C15" s="76">
        <v>79472</v>
      </c>
      <c r="D15" s="149" t="s">
        <v>18</v>
      </c>
      <c r="E15" s="149"/>
      <c r="F15" s="58">
        <f>'QUANTITATIVO E MEMÓRIA DE PAVI.'!F12</f>
        <v>11200</v>
      </c>
      <c r="G15" s="76" t="s">
        <v>15</v>
      </c>
      <c r="H15" s="62">
        <v>0.84</v>
      </c>
      <c r="I15" s="62">
        <f t="shared" ref="I15" si="0">ROUND(H15*(1+$I$8),2)</f>
        <v>1.07</v>
      </c>
      <c r="J15" s="62">
        <f t="shared" ref="J15" si="1">ROUND(I15*F15,2)</f>
        <v>11984</v>
      </c>
      <c r="K15" s="83"/>
    </row>
    <row r="16" spans="1:11" ht="39.75" customHeight="1">
      <c r="B16" s="76" t="s">
        <v>131</v>
      </c>
      <c r="C16" s="76" t="s">
        <v>22</v>
      </c>
      <c r="D16" s="150" t="s">
        <v>237</v>
      </c>
      <c r="E16" s="150"/>
      <c r="F16" s="58">
        <f>'QUANTITATIVO E MEMÓRIA DE PAVI.'!H12</f>
        <v>1680</v>
      </c>
      <c r="G16" s="76" t="s">
        <v>20</v>
      </c>
      <c r="H16" s="62">
        <v>2.85</v>
      </c>
      <c r="I16" s="62">
        <f t="shared" ref="I16:I22" si="2">ROUND(H16*(1+$I$8),2)</f>
        <v>3.63</v>
      </c>
      <c r="J16" s="62">
        <f t="shared" ref="J16:J22" si="3">ROUND(I16*F16,2)</f>
        <v>6098.4</v>
      </c>
    </row>
    <row r="17" spans="1:11" ht="24.75" customHeight="1">
      <c r="B17" s="76" t="s">
        <v>21</v>
      </c>
      <c r="C17" s="76">
        <v>95875</v>
      </c>
      <c r="D17" s="150" t="s">
        <v>24</v>
      </c>
      <c r="E17" s="150"/>
      <c r="F17" s="58">
        <f>'QUANTITATIVO E MEMÓRIA DE PAVI.'!J12</f>
        <v>16800</v>
      </c>
      <c r="G17" s="76" t="s">
        <v>25</v>
      </c>
      <c r="H17" s="62">
        <v>0.92</v>
      </c>
      <c r="I17" s="62">
        <f t="shared" si="2"/>
        <v>1.17</v>
      </c>
      <c r="J17" s="62">
        <f t="shared" si="3"/>
        <v>19656</v>
      </c>
    </row>
    <row r="18" spans="1:11" ht="69" customHeight="1">
      <c r="B18" s="76" t="s">
        <v>23</v>
      </c>
      <c r="C18" s="76">
        <v>96387</v>
      </c>
      <c r="D18" s="149" t="s">
        <v>27</v>
      </c>
      <c r="E18" s="149"/>
      <c r="F18" s="58">
        <f>'QUANTITATIVO E MEMÓRIA DE PAVI.'!H12</f>
        <v>1680</v>
      </c>
      <c r="G18" s="76" t="s">
        <v>20</v>
      </c>
      <c r="H18" s="62">
        <v>6.15</v>
      </c>
      <c r="I18" s="62">
        <f t="shared" si="2"/>
        <v>7.84</v>
      </c>
      <c r="J18" s="62">
        <f t="shared" si="3"/>
        <v>13171.2</v>
      </c>
    </row>
    <row r="19" spans="1:11" ht="56.25" customHeight="1">
      <c r="B19" s="76" t="s">
        <v>132</v>
      </c>
      <c r="C19" s="76">
        <v>96401</v>
      </c>
      <c r="D19" s="149" t="s">
        <v>29</v>
      </c>
      <c r="E19" s="149"/>
      <c r="F19" s="58">
        <f>'QUANTITATIVO E MEMÓRIA DE PAVI.'!K12</f>
        <v>15600</v>
      </c>
      <c r="G19" s="76" t="s">
        <v>15</v>
      </c>
      <c r="H19" s="62">
        <v>4.5</v>
      </c>
      <c r="I19" s="62">
        <f t="shared" si="2"/>
        <v>5.74</v>
      </c>
      <c r="J19" s="62">
        <f t="shared" si="3"/>
        <v>89544</v>
      </c>
      <c r="K19" s="82"/>
    </row>
    <row r="20" spans="1:11" ht="54" customHeight="1">
      <c r="B20" s="76" t="s">
        <v>26</v>
      </c>
      <c r="C20" s="76">
        <v>72942</v>
      </c>
      <c r="D20" s="149" t="s">
        <v>30</v>
      </c>
      <c r="E20" s="149"/>
      <c r="F20" s="58">
        <f>'QUANTITATIVO E MEMÓRIA DE PAVI.'!L12</f>
        <v>15600</v>
      </c>
      <c r="G20" s="76" t="s">
        <v>15</v>
      </c>
      <c r="H20" s="62">
        <v>1.27</v>
      </c>
      <c r="I20" s="62">
        <f t="shared" si="2"/>
        <v>1.62</v>
      </c>
      <c r="J20" s="62">
        <f t="shared" si="3"/>
        <v>25272</v>
      </c>
    </row>
    <row r="21" spans="1:11" ht="42" customHeight="1">
      <c r="B21" s="76" t="s">
        <v>28</v>
      </c>
      <c r="C21" s="76">
        <v>95995</v>
      </c>
      <c r="D21" s="149" t="s">
        <v>238</v>
      </c>
      <c r="E21" s="149"/>
      <c r="F21" s="58">
        <f>'QUANTITATIVO E MEMÓRIA DE PAVI.'!N12</f>
        <v>468</v>
      </c>
      <c r="G21" s="76" t="s">
        <v>20</v>
      </c>
      <c r="H21" s="62">
        <v>1012.57</v>
      </c>
      <c r="I21" s="62">
        <f t="shared" si="2"/>
        <v>1291.03</v>
      </c>
      <c r="J21" s="62">
        <f t="shared" si="3"/>
        <v>604202.04</v>
      </c>
    </row>
    <row r="22" spans="1:11" ht="25.5" customHeight="1">
      <c r="B22" s="76" t="s">
        <v>31</v>
      </c>
      <c r="C22" s="76">
        <v>95876</v>
      </c>
      <c r="D22" s="149" t="s">
        <v>249</v>
      </c>
      <c r="E22" s="149"/>
      <c r="F22" s="58">
        <f>'QUANTITATIVO E MEMÓRIA DE PAVI.'!O12</f>
        <v>89856</v>
      </c>
      <c r="G22" s="76" t="s">
        <v>32</v>
      </c>
      <c r="H22" s="62">
        <v>0.9</v>
      </c>
      <c r="I22" s="62">
        <f t="shared" si="2"/>
        <v>1.1499999999999999</v>
      </c>
      <c r="J22" s="62">
        <f t="shared" si="3"/>
        <v>103334.39999999999</v>
      </c>
    </row>
    <row r="23" spans="1:11" s="101" customFormat="1">
      <c r="A23" s="103"/>
      <c r="B23" s="99"/>
      <c r="C23" s="99"/>
      <c r="D23" s="145" t="s">
        <v>16</v>
      </c>
      <c r="E23" s="145"/>
      <c r="F23" s="152"/>
      <c r="G23" s="152"/>
      <c r="H23" s="152"/>
      <c r="I23" s="100"/>
      <c r="J23" s="98">
        <f>SUM(J15:J22)</f>
        <v>873262.04</v>
      </c>
    </row>
    <row r="24" spans="1:11" s="114" customFormat="1">
      <c r="A24" s="120"/>
      <c r="B24" s="111" t="s">
        <v>33</v>
      </c>
      <c r="C24" s="111"/>
      <c r="D24" s="151" t="s">
        <v>34</v>
      </c>
      <c r="E24" s="151"/>
      <c r="F24" s="115"/>
      <c r="G24" s="115"/>
      <c r="H24" s="116"/>
      <c r="I24" s="113"/>
      <c r="J24" s="112"/>
    </row>
    <row r="25" spans="1:11" ht="26.25" customHeight="1">
      <c r="B25" s="76" t="s">
        <v>35</v>
      </c>
      <c r="C25" s="76">
        <v>94275</v>
      </c>
      <c r="D25" s="150" t="s">
        <v>36</v>
      </c>
      <c r="E25" s="150"/>
      <c r="F25" s="58">
        <v>2000</v>
      </c>
      <c r="G25" s="76" t="s">
        <v>37</v>
      </c>
      <c r="H25" s="62">
        <v>33.299999999999997</v>
      </c>
      <c r="I25" s="62">
        <f t="shared" ref="I25:I26" si="4">ROUND(H25*(1+$I$8),2)</f>
        <v>42.46</v>
      </c>
      <c r="J25" s="62">
        <f t="shared" ref="J25:J26" si="5">ROUND(I25*F25,2)</f>
        <v>84920</v>
      </c>
    </row>
    <row r="26" spans="1:11" ht="26.25" customHeight="1">
      <c r="B26" s="76" t="s">
        <v>38</v>
      </c>
      <c r="C26" s="76" t="s">
        <v>39</v>
      </c>
      <c r="D26" s="150" t="s">
        <v>250</v>
      </c>
      <c r="E26" s="150"/>
      <c r="F26" s="58">
        <v>2000</v>
      </c>
      <c r="G26" s="76" t="s">
        <v>37</v>
      </c>
      <c r="H26" s="62">
        <v>17.88</v>
      </c>
      <c r="I26" s="62">
        <f t="shared" si="4"/>
        <v>22.8</v>
      </c>
      <c r="J26" s="62">
        <f t="shared" si="5"/>
        <v>45600</v>
      </c>
      <c r="K26" s="83"/>
    </row>
    <row r="27" spans="1:11" s="101" customFormat="1">
      <c r="A27" s="103"/>
      <c r="B27" s="99"/>
      <c r="C27" s="99"/>
      <c r="D27" s="145" t="s">
        <v>16</v>
      </c>
      <c r="E27" s="145"/>
      <c r="F27" s="99"/>
      <c r="G27" s="99"/>
      <c r="H27" s="102"/>
      <c r="I27" s="102"/>
      <c r="J27" s="98">
        <f>SUM(J25:J26)</f>
        <v>130520</v>
      </c>
    </row>
    <row r="28" spans="1:11" s="114" customFormat="1">
      <c r="A28" s="120"/>
      <c r="B28" s="111" t="s">
        <v>205</v>
      </c>
      <c r="C28" s="111"/>
      <c r="D28" s="151" t="s">
        <v>204</v>
      </c>
      <c r="E28" s="151"/>
      <c r="F28" s="111"/>
      <c r="G28" s="111"/>
      <c r="H28" s="112"/>
      <c r="I28" s="112"/>
      <c r="J28" s="112"/>
    </row>
    <row r="29" spans="1:11">
      <c r="B29" s="76" t="s">
        <v>206</v>
      </c>
      <c r="C29" s="76">
        <v>99063</v>
      </c>
      <c r="D29" s="141" t="s">
        <v>228</v>
      </c>
      <c r="E29" s="142"/>
      <c r="F29" s="60">
        <v>600</v>
      </c>
      <c r="G29" s="76" t="s">
        <v>37</v>
      </c>
      <c r="H29" s="62">
        <v>0.92</v>
      </c>
      <c r="I29" s="62">
        <f t="shared" ref="I29:I48" si="6">ROUND(H29*(1+$I$8),2)</f>
        <v>1.17</v>
      </c>
      <c r="J29" s="62">
        <f t="shared" ref="J29:J48" si="7">ROUND(I29*F29,2)</f>
        <v>702</v>
      </c>
    </row>
    <row r="30" spans="1:11" ht="28.5" customHeight="1">
      <c r="B30" s="76" t="s">
        <v>207</v>
      </c>
      <c r="C30" s="56">
        <v>90108</v>
      </c>
      <c r="D30" s="149" t="s">
        <v>144</v>
      </c>
      <c r="E30" s="149"/>
      <c r="F30" s="59">
        <f>'Quant. Drenagem'!J7</f>
        <v>530.80000000000007</v>
      </c>
      <c r="G30" s="57" t="s">
        <v>20</v>
      </c>
      <c r="H30" s="62">
        <v>4.5199999999999996</v>
      </c>
      <c r="I30" s="62">
        <f t="shared" si="6"/>
        <v>5.76</v>
      </c>
      <c r="J30" s="62">
        <f t="shared" si="7"/>
        <v>3057.41</v>
      </c>
    </row>
    <row r="31" spans="1:11" ht="26.25" customHeight="1">
      <c r="B31" s="76" t="s">
        <v>208</v>
      </c>
      <c r="C31" s="56">
        <v>97914</v>
      </c>
      <c r="D31" s="148" t="s">
        <v>202</v>
      </c>
      <c r="E31" s="149"/>
      <c r="F31" s="59">
        <f>'Quant. Drenagem'!R7</f>
        <v>530.80000000000007</v>
      </c>
      <c r="G31" s="57" t="s">
        <v>25</v>
      </c>
      <c r="H31" s="62">
        <v>1.52</v>
      </c>
      <c r="I31" s="62">
        <f t="shared" si="6"/>
        <v>1.94</v>
      </c>
      <c r="J31" s="62">
        <f t="shared" si="7"/>
        <v>1029.75</v>
      </c>
      <c r="K31" s="82"/>
    </row>
    <row r="32" spans="1:11" ht="42" customHeight="1">
      <c r="B32" s="76" t="s">
        <v>209</v>
      </c>
      <c r="C32" s="56">
        <v>94099</v>
      </c>
      <c r="D32" s="148" t="s">
        <v>239</v>
      </c>
      <c r="E32" s="149"/>
      <c r="F32" s="59">
        <f>'Quant. Drenagem'!L7</f>
        <v>320</v>
      </c>
      <c r="G32" s="57" t="s">
        <v>15</v>
      </c>
      <c r="H32" s="62">
        <v>2.15</v>
      </c>
      <c r="I32" s="62">
        <f t="shared" si="6"/>
        <v>2.74</v>
      </c>
      <c r="J32" s="62">
        <f t="shared" si="7"/>
        <v>876.8</v>
      </c>
    </row>
    <row r="33" spans="2:10" ht="42" customHeight="1">
      <c r="B33" s="76" t="s">
        <v>210</v>
      </c>
      <c r="C33" s="56">
        <v>94115</v>
      </c>
      <c r="D33" s="148" t="s">
        <v>240</v>
      </c>
      <c r="E33" s="149"/>
      <c r="F33" s="59">
        <f>'Quant. Drenagem'!M26</f>
        <v>64</v>
      </c>
      <c r="G33" s="57" t="s">
        <v>20</v>
      </c>
      <c r="H33" s="62">
        <v>103.96</v>
      </c>
      <c r="I33" s="62">
        <f t="shared" si="6"/>
        <v>132.55000000000001</v>
      </c>
      <c r="J33" s="62">
        <f t="shared" si="7"/>
        <v>8483.2000000000007</v>
      </c>
    </row>
    <row r="34" spans="2:10" ht="26.25" customHeight="1">
      <c r="B34" s="76" t="s">
        <v>211</v>
      </c>
      <c r="C34" s="56">
        <v>94962</v>
      </c>
      <c r="D34" s="148" t="s">
        <v>145</v>
      </c>
      <c r="E34" s="149"/>
      <c r="F34" s="59">
        <f>'Quant. Drenagem'!N7</f>
        <v>74</v>
      </c>
      <c r="G34" s="57" t="s">
        <v>20</v>
      </c>
      <c r="H34" s="62">
        <v>217.54</v>
      </c>
      <c r="I34" s="62">
        <f t="shared" si="6"/>
        <v>277.36</v>
      </c>
      <c r="J34" s="62">
        <f t="shared" si="7"/>
        <v>20524.64</v>
      </c>
    </row>
    <row r="35" spans="2:10" ht="19.5" customHeight="1">
      <c r="B35" s="76" t="s">
        <v>212</v>
      </c>
      <c r="C35" s="56" t="s">
        <v>242</v>
      </c>
      <c r="D35" s="148" t="s">
        <v>241</v>
      </c>
      <c r="E35" s="149"/>
      <c r="F35" s="59">
        <f>'Quant. Drenagem'!O7</f>
        <v>133.19999999999999</v>
      </c>
      <c r="G35" s="57" t="s">
        <v>15</v>
      </c>
      <c r="H35" s="62">
        <v>24.96</v>
      </c>
      <c r="I35" s="62">
        <f t="shared" si="6"/>
        <v>31.82</v>
      </c>
      <c r="J35" s="62">
        <f t="shared" si="7"/>
        <v>4238.42</v>
      </c>
    </row>
    <row r="36" spans="2:10" ht="50.25" customHeight="1">
      <c r="B36" s="76" t="s">
        <v>213</v>
      </c>
      <c r="C36" s="56">
        <v>94046</v>
      </c>
      <c r="D36" s="148" t="s">
        <v>244</v>
      </c>
      <c r="E36" s="149"/>
      <c r="F36" s="59">
        <f>'Quant. Drenagem'!M7</f>
        <v>181.5</v>
      </c>
      <c r="G36" s="57" t="s">
        <v>15</v>
      </c>
      <c r="H36" s="62">
        <v>17.84</v>
      </c>
      <c r="I36" s="62">
        <f t="shared" si="6"/>
        <v>22.75</v>
      </c>
      <c r="J36" s="62">
        <f t="shared" si="7"/>
        <v>4129.13</v>
      </c>
    </row>
    <row r="37" spans="2:10" ht="43.5" customHeight="1">
      <c r="B37" s="76" t="s">
        <v>214</v>
      </c>
      <c r="C37" s="56" t="s">
        <v>22</v>
      </c>
      <c r="D37" s="148" t="s">
        <v>245</v>
      </c>
      <c r="E37" s="149"/>
      <c r="F37" s="59">
        <f>'Quant. Drenagem'!S7</f>
        <v>297.2</v>
      </c>
      <c r="G37" s="57" t="s">
        <v>20</v>
      </c>
      <c r="H37" s="62">
        <v>2.85</v>
      </c>
      <c r="I37" s="62">
        <f t="shared" si="6"/>
        <v>3.63</v>
      </c>
      <c r="J37" s="62">
        <f t="shared" si="7"/>
        <v>1078.8399999999999</v>
      </c>
    </row>
    <row r="38" spans="2:10" ht="41.25" customHeight="1">
      <c r="B38" s="76" t="s">
        <v>215</v>
      </c>
      <c r="C38" s="56">
        <v>97914</v>
      </c>
      <c r="D38" s="148" t="s">
        <v>246</v>
      </c>
      <c r="E38" s="149"/>
      <c r="F38" s="59">
        <f>'Quant. Drenagem'!T7</f>
        <v>1486</v>
      </c>
      <c r="G38" s="57" t="s">
        <v>25</v>
      </c>
      <c r="H38" s="62">
        <v>1.52</v>
      </c>
      <c r="I38" s="62">
        <f t="shared" si="6"/>
        <v>1.94</v>
      </c>
      <c r="J38" s="62">
        <f t="shared" si="7"/>
        <v>2882.84</v>
      </c>
    </row>
    <row r="39" spans="2:10">
      <c r="B39" s="76" t="s">
        <v>216</v>
      </c>
      <c r="C39" s="56">
        <v>96995</v>
      </c>
      <c r="D39" s="148" t="s">
        <v>146</v>
      </c>
      <c r="E39" s="149"/>
      <c r="F39" s="59">
        <f>'Quant. Drenagem'!P7</f>
        <v>127.5</v>
      </c>
      <c r="G39" s="57" t="s">
        <v>20</v>
      </c>
      <c r="H39" s="62">
        <v>33</v>
      </c>
      <c r="I39" s="62">
        <f t="shared" si="6"/>
        <v>42.08</v>
      </c>
      <c r="J39" s="62">
        <f t="shared" si="7"/>
        <v>5365.2</v>
      </c>
    </row>
    <row r="40" spans="2:10">
      <c r="B40" s="76" t="s">
        <v>217</v>
      </c>
      <c r="C40" s="56">
        <v>93382</v>
      </c>
      <c r="D40" s="148" t="s">
        <v>147</v>
      </c>
      <c r="E40" s="149"/>
      <c r="F40" s="59">
        <f>'Quant. Drenagem'!Q7</f>
        <v>169.7</v>
      </c>
      <c r="G40" s="57" t="s">
        <v>20</v>
      </c>
      <c r="H40" s="62">
        <v>20.309999999999999</v>
      </c>
      <c r="I40" s="62">
        <f t="shared" si="6"/>
        <v>25.9</v>
      </c>
      <c r="J40" s="62">
        <f t="shared" si="7"/>
        <v>4395.2299999999996</v>
      </c>
    </row>
    <row r="41" spans="2:10">
      <c r="B41" s="76" t="s">
        <v>218</v>
      </c>
      <c r="C41" s="56" t="s">
        <v>148</v>
      </c>
      <c r="D41" s="148" t="s">
        <v>149</v>
      </c>
      <c r="E41" s="149"/>
      <c r="F41" s="59">
        <f>'Quant. Drenagem'!J30</f>
        <v>2</v>
      </c>
      <c r="G41" s="57" t="s">
        <v>229</v>
      </c>
      <c r="H41" s="62">
        <v>2024.78</v>
      </c>
      <c r="I41" s="62">
        <f t="shared" si="6"/>
        <v>2581.59</v>
      </c>
      <c r="J41" s="62">
        <f t="shared" si="7"/>
        <v>5163.18</v>
      </c>
    </row>
    <row r="42" spans="2:10">
      <c r="B42" s="76" t="s">
        <v>219</v>
      </c>
      <c r="C42" s="56" t="s">
        <v>150</v>
      </c>
      <c r="D42" s="148" t="s">
        <v>151</v>
      </c>
      <c r="E42" s="149"/>
      <c r="F42" s="59">
        <f>'Quant. Drenagem'!J31</f>
        <v>4</v>
      </c>
      <c r="G42" s="57" t="s">
        <v>37</v>
      </c>
      <c r="H42" s="62">
        <v>463.77</v>
      </c>
      <c r="I42" s="62">
        <f t="shared" si="6"/>
        <v>591.30999999999995</v>
      </c>
      <c r="J42" s="62">
        <f t="shared" si="7"/>
        <v>2365.2399999999998</v>
      </c>
    </row>
    <row r="43" spans="2:10">
      <c r="B43" s="76" t="s">
        <v>220</v>
      </c>
      <c r="C43" s="56" t="s">
        <v>152</v>
      </c>
      <c r="D43" s="148" t="s">
        <v>153</v>
      </c>
      <c r="E43" s="149"/>
      <c r="F43" s="59">
        <f>'Quant. Drenagem'!J30</f>
        <v>2</v>
      </c>
      <c r="G43" s="57" t="s">
        <v>229</v>
      </c>
      <c r="H43" s="62">
        <v>393.14</v>
      </c>
      <c r="I43" s="62">
        <f t="shared" si="6"/>
        <v>501.25</v>
      </c>
      <c r="J43" s="62">
        <f t="shared" si="7"/>
        <v>1002.5</v>
      </c>
    </row>
    <row r="44" spans="2:10" ht="26.25" customHeight="1">
      <c r="B44" s="76" t="s">
        <v>221</v>
      </c>
      <c r="C44" s="56" t="s">
        <v>154</v>
      </c>
      <c r="D44" s="148" t="s">
        <v>155</v>
      </c>
      <c r="E44" s="149"/>
      <c r="F44" s="59">
        <f>'Quant. Drenagem'!C6</f>
        <v>50</v>
      </c>
      <c r="G44" s="57" t="s">
        <v>37</v>
      </c>
      <c r="H44" s="62">
        <v>85.11</v>
      </c>
      <c r="I44" s="62">
        <f t="shared" si="6"/>
        <v>108.52</v>
      </c>
      <c r="J44" s="62">
        <f t="shared" si="7"/>
        <v>5426</v>
      </c>
    </row>
    <row r="45" spans="2:10" ht="28.5" customHeight="1">
      <c r="B45" s="76" t="s">
        <v>222</v>
      </c>
      <c r="C45" s="56" t="s">
        <v>232</v>
      </c>
      <c r="D45" s="148" t="s">
        <v>231</v>
      </c>
      <c r="E45" s="149"/>
      <c r="F45" s="59">
        <f>'Quant. Drenagem'!C5</f>
        <v>200</v>
      </c>
      <c r="G45" s="57" t="s">
        <v>37</v>
      </c>
      <c r="H45" s="62">
        <v>147.87</v>
      </c>
      <c r="I45" s="62">
        <f t="shared" si="6"/>
        <v>188.53</v>
      </c>
      <c r="J45" s="62">
        <f t="shared" si="7"/>
        <v>37706</v>
      </c>
    </row>
    <row r="46" spans="2:10" ht="25.5" customHeight="1">
      <c r="B46" s="76" t="s">
        <v>223</v>
      </c>
      <c r="C46" s="56" t="s">
        <v>156</v>
      </c>
      <c r="D46" s="148" t="s">
        <v>157</v>
      </c>
      <c r="E46" s="149"/>
      <c r="F46" s="59">
        <f>'Quant. Drenagem'!C4</f>
        <v>50</v>
      </c>
      <c r="G46" s="57" t="s">
        <v>37</v>
      </c>
      <c r="H46" s="62">
        <v>238.72</v>
      </c>
      <c r="I46" s="62">
        <f t="shared" si="6"/>
        <v>304.37</v>
      </c>
      <c r="J46" s="62">
        <f t="shared" si="7"/>
        <v>15218.5</v>
      </c>
    </row>
    <row r="47" spans="2:10" ht="27" customHeight="1">
      <c r="B47" s="76" t="s">
        <v>247</v>
      </c>
      <c r="C47" s="56" t="s">
        <v>158</v>
      </c>
      <c r="D47" s="148" t="s">
        <v>159</v>
      </c>
      <c r="E47" s="149"/>
      <c r="F47" s="59">
        <f>'Quant. Drenagem'!J28</f>
        <v>10</v>
      </c>
      <c r="G47" s="57" t="s">
        <v>229</v>
      </c>
      <c r="H47" s="62">
        <v>877.01</v>
      </c>
      <c r="I47" s="62">
        <f t="shared" si="6"/>
        <v>1118.19</v>
      </c>
      <c r="J47" s="62">
        <f t="shared" si="7"/>
        <v>11181.9</v>
      </c>
    </row>
    <row r="48" spans="2:10" ht="24" customHeight="1">
      <c r="B48" s="76" t="s">
        <v>248</v>
      </c>
      <c r="C48" s="56" t="s">
        <v>160</v>
      </c>
      <c r="D48" s="148" t="s">
        <v>161</v>
      </c>
      <c r="E48" s="149"/>
      <c r="F48" s="59">
        <f>'Quant. Drenagem'!J29</f>
        <v>5</v>
      </c>
      <c r="G48" s="57" t="s">
        <v>229</v>
      </c>
      <c r="H48" s="62">
        <v>1536.57</v>
      </c>
      <c r="I48" s="62">
        <f t="shared" si="6"/>
        <v>1959.13</v>
      </c>
      <c r="J48" s="62">
        <f t="shared" si="7"/>
        <v>9795.65</v>
      </c>
    </row>
    <row r="49" spans="1:10" s="101" customFormat="1">
      <c r="A49" s="103"/>
      <c r="C49" s="104"/>
      <c r="D49" s="145" t="s">
        <v>16</v>
      </c>
      <c r="E49" s="145"/>
      <c r="F49" s="110"/>
      <c r="G49" s="105"/>
      <c r="H49" s="110"/>
      <c r="I49" s="106"/>
      <c r="J49" s="98">
        <f>SUM(J29:J48)</f>
        <v>144622.43</v>
      </c>
    </row>
    <row r="50" spans="1:10" s="101" customFormat="1" ht="15">
      <c r="A50" s="103"/>
      <c r="B50" s="103"/>
      <c r="C50" s="107"/>
      <c r="D50" s="146"/>
      <c r="E50" s="147"/>
      <c r="F50" s="108"/>
      <c r="G50" s="109"/>
      <c r="H50" s="143" t="s">
        <v>224</v>
      </c>
      <c r="I50" s="144"/>
      <c r="J50" s="98">
        <f>J49+J27+J23+J13</f>
        <v>1149965.95</v>
      </c>
    </row>
    <row r="51" spans="1:10" s="84" customFormat="1" ht="15">
      <c r="A51" s="87"/>
      <c r="B51" s="123"/>
      <c r="C51" s="88"/>
      <c r="D51" s="92"/>
      <c r="E51" s="93"/>
      <c r="F51" s="89"/>
      <c r="G51" s="90"/>
      <c r="H51" s="89"/>
      <c r="I51" s="94"/>
      <c r="J51" s="124"/>
    </row>
    <row r="52" spans="1:10" s="84" customFormat="1" ht="15">
      <c r="A52" s="87"/>
      <c r="B52" s="123"/>
      <c r="C52" s="88"/>
      <c r="D52" s="92"/>
      <c r="E52" s="93"/>
      <c r="F52" s="89"/>
      <c r="G52" s="90"/>
      <c r="H52" s="89"/>
      <c r="I52" s="94"/>
      <c r="J52" s="124"/>
    </row>
    <row r="53" spans="1:10">
      <c r="B53" s="125"/>
      <c r="C53" s="81"/>
      <c r="D53" s="81"/>
      <c r="E53" s="81"/>
      <c r="F53" s="81"/>
      <c r="G53" s="81"/>
      <c r="H53" s="81"/>
      <c r="I53" s="81"/>
      <c r="J53" s="126"/>
    </row>
    <row r="54" spans="1:10">
      <c r="B54" s="127"/>
      <c r="C54" s="86"/>
      <c r="D54" s="86"/>
      <c r="E54" s="91" t="s">
        <v>251</v>
      </c>
      <c r="F54" s="81"/>
      <c r="G54" s="81"/>
      <c r="H54" s="81"/>
      <c r="I54" s="81"/>
      <c r="J54" s="126"/>
    </row>
    <row r="55" spans="1:10">
      <c r="B55" s="125"/>
      <c r="C55" s="81"/>
      <c r="D55" s="81"/>
      <c r="E55" s="81" t="s">
        <v>252</v>
      </c>
      <c r="F55" s="81"/>
      <c r="G55" s="81"/>
      <c r="H55" s="81"/>
      <c r="I55" s="81"/>
      <c r="J55" s="128"/>
    </row>
    <row r="56" spans="1:10">
      <c r="B56" s="127"/>
      <c r="C56" s="86"/>
      <c r="D56" s="86"/>
      <c r="E56" s="81" t="s">
        <v>253</v>
      </c>
      <c r="F56" s="81"/>
      <c r="G56" s="81"/>
      <c r="H56" s="81"/>
      <c r="I56" s="81"/>
      <c r="J56" s="126"/>
    </row>
    <row r="57" spans="1:10">
      <c r="B57" s="137"/>
      <c r="C57" s="138"/>
      <c r="D57" s="138"/>
      <c r="E57" s="138"/>
      <c r="F57" s="138"/>
      <c r="G57" s="138"/>
      <c r="H57" s="138"/>
      <c r="I57" s="138"/>
      <c r="J57" s="139"/>
    </row>
    <row r="58" spans="1:10">
      <c r="B58" s="140"/>
      <c r="C58" s="140"/>
      <c r="D58" s="140"/>
      <c r="E58" s="140"/>
      <c r="F58" s="140"/>
      <c r="G58" s="140"/>
      <c r="H58" s="140"/>
      <c r="I58" s="140"/>
      <c r="J58" s="140"/>
    </row>
  </sheetData>
  <mergeCells count="61">
    <mergeCell ref="D19:E19"/>
    <mergeCell ref="D20:E20"/>
    <mergeCell ref="D25:E25"/>
    <mergeCell ref="D21:E21"/>
    <mergeCell ref="D22:E22"/>
    <mergeCell ref="D23:E23"/>
    <mergeCell ref="D14:E14"/>
    <mergeCell ref="D15:E15"/>
    <mergeCell ref="D16:E16"/>
    <mergeCell ref="D17:E17"/>
    <mergeCell ref="D18:E18"/>
    <mergeCell ref="J9:J10"/>
    <mergeCell ref="D9:E10"/>
    <mergeCell ref="D12:E12"/>
    <mergeCell ref="D13:E13"/>
    <mergeCell ref="G9:G10"/>
    <mergeCell ref="F23:H23"/>
    <mergeCell ref="D24:E24"/>
    <mergeCell ref="B2:J2"/>
    <mergeCell ref="B3:J3"/>
    <mergeCell ref="B5:D5"/>
    <mergeCell ref="E5:G5"/>
    <mergeCell ref="H5:J5"/>
    <mergeCell ref="B6:G6"/>
    <mergeCell ref="H6:J6"/>
    <mergeCell ref="B7:J7"/>
    <mergeCell ref="B8:G8"/>
    <mergeCell ref="D11:E11"/>
    <mergeCell ref="B9:B10"/>
    <mergeCell ref="F9:F10"/>
    <mergeCell ref="H9:H10"/>
    <mergeCell ref="I9:I10"/>
    <mergeCell ref="D27:E27"/>
    <mergeCell ref="D48:E48"/>
    <mergeCell ref="D43:E43"/>
    <mergeCell ref="D28:E28"/>
    <mergeCell ref="D36:E36"/>
    <mergeCell ref="D42:E42"/>
    <mergeCell ref="D44:E44"/>
    <mergeCell ref="D37:E37"/>
    <mergeCell ref="D45:E45"/>
    <mergeCell ref="D39:E39"/>
    <mergeCell ref="D40:E40"/>
    <mergeCell ref="D41:E41"/>
    <mergeCell ref="D38:E38"/>
    <mergeCell ref="B4:J4"/>
    <mergeCell ref="B57:J57"/>
    <mergeCell ref="B58:J58"/>
    <mergeCell ref="D29:E29"/>
    <mergeCell ref="H50:I50"/>
    <mergeCell ref="D49:E49"/>
    <mergeCell ref="D50:E50"/>
    <mergeCell ref="D31:E31"/>
    <mergeCell ref="D32:E32"/>
    <mergeCell ref="D33:E33"/>
    <mergeCell ref="D34:E34"/>
    <mergeCell ref="D35:E35"/>
    <mergeCell ref="D30:E30"/>
    <mergeCell ref="D46:E46"/>
    <mergeCell ref="D47:E47"/>
    <mergeCell ref="D26:E26"/>
  </mergeCells>
  <pageMargins left="0.51181102362204722" right="0.51181102362204722" top="0.78740157480314965" bottom="0.78740157480314965" header="0.31496062992125984" footer="0.31496062992125984"/>
  <pageSetup paperSize="9" scale="55" orientation="portrait" r:id="rId1"/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7"/>
  <sheetViews>
    <sheetView showGridLines="0" topLeftCell="A10" zoomScale="90" zoomScaleNormal="90" zoomScaleSheetLayoutView="85" workbookViewId="0">
      <selection activeCell="K9" sqref="K9"/>
    </sheetView>
  </sheetViews>
  <sheetFormatPr defaultColWidth="9" defaultRowHeight="15"/>
  <cols>
    <col min="1" max="1" width="5.28515625" customWidth="1"/>
    <col min="2" max="2" width="37.7109375" customWidth="1"/>
    <col min="3" max="3" width="13.42578125" customWidth="1"/>
    <col min="4" max="4" width="16.140625" customWidth="1"/>
    <col min="5" max="5" width="15.7109375" customWidth="1"/>
    <col min="6" max="7" width="16.7109375" customWidth="1"/>
    <col min="8" max="8" width="21.140625" customWidth="1"/>
  </cols>
  <sheetData>
    <row r="1" spans="1:9" ht="20.25" customHeight="1">
      <c r="A1" s="2"/>
      <c r="B1" s="3"/>
      <c r="C1" s="3"/>
      <c r="D1" s="3"/>
      <c r="E1" s="3"/>
      <c r="F1" s="3"/>
      <c r="G1" s="3"/>
      <c r="H1" s="3"/>
      <c r="I1" s="15"/>
    </row>
    <row r="2" spans="1:9" ht="124.5" customHeight="1">
      <c r="A2" s="4"/>
      <c r="B2" s="178" t="s">
        <v>40</v>
      </c>
      <c r="C2" s="178"/>
      <c r="D2" s="178"/>
      <c r="E2" s="178"/>
      <c r="F2" s="178"/>
      <c r="G2" s="178"/>
      <c r="H2" s="178"/>
      <c r="I2" s="16"/>
    </row>
    <row r="3" spans="1:9" ht="25.5" customHeight="1">
      <c r="A3" s="4"/>
      <c r="B3" s="179" t="s">
        <v>41</v>
      </c>
      <c r="C3" s="180"/>
      <c r="D3" s="180"/>
      <c r="E3" s="180"/>
      <c r="F3" s="180"/>
      <c r="G3" s="180"/>
      <c r="H3" s="180"/>
      <c r="I3" s="16"/>
    </row>
    <row r="4" spans="1:9" ht="26.25" customHeight="1" thickBot="1">
      <c r="A4" s="4"/>
      <c r="B4" s="5"/>
      <c r="C4" s="5"/>
      <c r="D4" s="5"/>
      <c r="E4" s="5"/>
      <c r="F4" s="5"/>
      <c r="G4" s="5"/>
      <c r="H4" s="5"/>
      <c r="I4" s="16"/>
    </row>
    <row r="5" spans="1:9" ht="36.75" customHeight="1" thickBot="1">
      <c r="A5" s="4"/>
      <c r="B5" s="181" t="s">
        <v>255</v>
      </c>
      <c r="C5" s="182"/>
      <c r="D5" s="182"/>
      <c r="E5" s="182"/>
      <c r="F5" s="182"/>
      <c r="G5" s="182"/>
      <c r="H5" s="40"/>
      <c r="I5" s="16"/>
    </row>
    <row r="6" spans="1:9" ht="28.5" customHeight="1" thickBot="1">
      <c r="A6" s="4"/>
      <c r="B6" s="183" t="str">
        <f>'PLANILHA GERAL'!B7:J7</f>
        <v xml:space="preserve">OBRA: PAVIMENTAÇÃO  DE VIAS PÚBLICAS </v>
      </c>
      <c r="C6" s="184"/>
      <c r="D6" s="184"/>
      <c r="E6" s="184"/>
      <c r="F6" s="184"/>
      <c r="G6" s="184"/>
      <c r="H6" s="185"/>
      <c r="I6" s="16"/>
    </row>
    <row r="7" spans="1:9" ht="30.75" customHeight="1" thickBot="1">
      <c r="A7" s="4"/>
      <c r="B7" s="175" t="str">
        <f>'PLANILHA GERAL'!B8:G8</f>
        <v>LOCAL: DIVERSOS LOGRADOUROS</v>
      </c>
      <c r="C7" s="176"/>
      <c r="D7" s="176"/>
      <c r="E7" s="176"/>
      <c r="F7" s="176"/>
      <c r="G7" s="176"/>
      <c r="H7" s="177"/>
      <c r="I7" s="16"/>
    </row>
    <row r="8" spans="1:9" ht="15.75" thickBot="1">
      <c r="A8" s="4"/>
      <c r="B8" s="6" t="s">
        <v>42</v>
      </c>
      <c r="C8" s="164" t="s">
        <v>43</v>
      </c>
      <c r="D8" s="165"/>
      <c r="E8" s="7" t="s">
        <v>141</v>
      </c>
      <c r="F8" s="7" t="s">
        <v>142</v>
      </c>
      <c r="G8" s="7" t="s">
        <v>143</v>
      </c>
      <c r="H8" s="7" t="s">
        <v>44</v>
      </c>
      <c r="I8" s="16"/>
    </row>
    <row r="9" spans="1:9" ht="23.1" customHeight="1" thickBot="1">
      <c r="A9" s="4"/>
      <c r="B9" s="169" t="str">
        <f>'PLANILHA GERAL'!D11</f>
        <v xml:space="preserve">INSTALAÇÕES INICIAIS DA OBRA </v>
      </c>
      <c r="C9" s="8" t="s">
        <v>45</v>
      </c>
      <c r="D9" s="65">
        <f>D10/$D$18</f>
        <v>1.3578488997869893E-3</v>
      </c>
      <c r="E9" s="9">
        <v>1</v>
      </c>
      <c r="F9" s="9"/>
      <c r="G9" s="9"/>
      <c r="H9" s="17">
        <f t="shared" ref="H9:H14" si="0">SUM(E9:G9)</f>
        <v>1</v>
      </c>
      <c r="I9" s="16"/>
    </row>
    <row r="10" spans="1:9" ht="23.1" customHeight="1" thickBot="1">
      <c r="A10" s="4"/>
      <c r="B10" s="170"/>
      <c r="C10" s="8" t="s">
        <v>46</v>
      </c>
      <c r="D10" s="63">
        <f>'PLANILHA GERAL'!J13</f>
        <v>1561.48</v>
      </c>
      <c r="E10" s="10">
        <f>E9*'PLANILHA GERAL'!J13</f>
        <v>1561.48</v>
      </c>
      <c r="F10" s="10">
        <f>F9*'PLANILHA GERAL'!J13</f>
        <v>0</v>
      </c>
      <c r="G10" s="10">
        <f>G9*'PLANILHA GERAL'!J13</f>
        <v>0</v>
      </c>
      <c r="H10" s="18">
        <f t="shared" si="0"/>
        <v>1561.48</v>
      </c>
      <c r="I10" s="16"/>
    </row>
    <row r="11" spans="1:9" ht="23.1" customHeight="1" thickBot="1">
      <c r="A11" s="4"/>
      <c r="B11" s="171" t="str">
        <f>'PLANILHA GERAL'!D14</f>
        <v>PAVIMENTAÇÃO DE VIAS URBANAS  EM C.B.U.Q</v>
      </c>
      <c r="C11" s="8" t="s">
        <v>45</v>
      </c>
      <c r="D11" s="65">
        <f>D12/$D$18</f>
        <v>0.75938077992657094</v>
      </c>
      <c r="E11" s="9">
        <v>0.3</v>
      </c>
      <c r="F11" s="9">
        <v>0.4</v>
      </c>
      <c r="G11" s="9">
        <v>0.3</v>
      </c>
      <c r="H11" s="17">
        <f t="shared" si="0"/>
        <v>1</v>
      </c>
      <c r="I11" s="16"/>
    </row>
    <row r="12" spans="1:9" ht="23.1" customHeight="1" thickBot="1">
      <c r="A12" s="4"/>
      <c r="B12" s="170"/>
      <c r="C12" s="8" t="s">
        <v>46</v>
      </c>
      <c r="D12" s="63">
        <f>'PLANILHA GERAL'!J23</f>
        <v>873262.04</v>
      </c>
      <c r="E12" s="10">
        <f>E11*'PLANILHA GERAL'!J23</f>
        <v>261978.61199999999</v>
      </c>
      <c r="F12" s="10">
        <f>F11*'PLANILHA GERAL'!J23</f>
        <v>349304.81600000005</v>
      </c>
      <c r="G12" s="10">
        <f>G11*'PLANILHA GERAL'!J23</f>
        <v>261978.61199999999</v>
      </c>
      <c r="H12" s="18">
        <f t="shared" si="0"/>
        <v>873262.04</v>
      </c>
      <c r="I12" s="16"/>
    </row>
    <row r="13" spans="1:9" ht="23.1" customHeight="1" thickBot="1">
      <c r="A13" s="4"/>
      <c r="B13" s="171" t="str">
        <f>'PLANILHA GERAL'!D24</f>
        <v>URBANIZAÇÃO E OBRAS COMPLEMENTARES</v>
      </c>
      <c r="C13" s="8" t="s">
        <v>45</v>
      </c>
      <c r="D13" s="65">
        <f>D14/$D$18</f>
        <v>0.11349901273163784</v>
      </c>
      <c r="E13" s="9">
        <v>0.1</v>
      </c>
      <c r="F13" s="9">
        <v>0.4</v>
      </c>
      <c r="G13" s="9">
        <v>0.5</v>
      </c>
      <c r="H13" s="17">
        <f t="shared" si="0"/>
        <v>1</v>
      </c>
      <c r="I13" s="16"/>
    </row>
    <row r="14" spans="1:9" ht="23.1" customHeight="1" thickBot="1">
      <c r="A14" s="4"/>
      <c r="B14" s="170"/>
      <c r="C14" s="8" t="s">
        <v>46</v>
      </c>
      <c r="D14" s="63">
        <f>'PLANILHA GERAL'!J27</f>
        <v>130520</v>
      </c>
      <c r="E14" s="10">
        <f>E13*'PLANILHA GERAL'!J27</f>
        <v>13052</v>
      </c>
      <c r="F14" s="10">
        <f>F13*'PLANILHA GERAL'!J27</f>
        <v>52208</v>
      </c>
      <c r="G14" s="10">
        <f>G13*'PLANILHA GERAL'!J27</f>
        <v>65260</v>
      </c>
      <c r="H14" s="18">
        <f t="shared" si="0"/>
        <v>130520</v>
      </c>
      <c r="I14" s="16"/>
    </row>
    <row r="15" spans="1:9" ht="23.1" customHeight="1" thickBot="1">
      <c r="A15" s="4"/>
      <c r="B15" s="174" t="s">
        <v>204</v>
      </c>
      <c r="C15" s="8" t="s">
        <v>45</v>
      </c>
      <c r="D15" s="65">
        <f>D16/$D$18</f>
        <v>0.12576235844200431</v>
      </c>
      <c r="E15" s="9">
        <v>0.5</v>
      </c>
      <c r="F15" s="9">
        <v>0.4</v>
      </c>
      <c r="G15" s="9">
        <v>0.1</v>
      </c>
      <c r="H15" s="17">
        <f t="shared" ref="H15:H16" si="1">SUM(E15:G15)</f>
        <v>1</v>
      </c>
      <c r="I15" s="16"/>
    </row>
    <row r="16" spans="1:9" ht="23.1" customHeight="1" thickBot="1">
      <c r="A16" s="4"/>
      <c r="B16" s="170"/>
      <c r="C16" s="8" t="s">
        <v>46</v>
      </c>
      <c r="D16" s="63">
        <f>'PLANILHA GERAL'!J49</f>
        <v>144622.43</v>
      </c>
      <c r="E16" s="10">
        <f>E15*$D$16</f>
        <v>72311.214999999997</v>
      </c>
      <c r="F16" s="10">
        <f>F15*$D$16</f>
        <v>57848.972000000002</v>
      </c>
      <c r="G16" s="10">
        <f>G15*$D$16</f>
        <v>14462.243</v>
      </c>
      <c r="H16" s="18">
        <f t="shared" si="1"/>
        <v>144622.43</v>
      </c>
      <c r="I16" s="16"/>
    </row>
    <row r="17" spans="1:9" ht="23.1" customHeight="1" thickBot="1">
      <c r="A17" s="4"/>
      <c r="B17" s="172" t="s">
        <v>10</v>
      </c>
      <c r="C17" s="7" t="s">
        <v>45</v>
      </c>
      <c r="D17" s="66">
        <f>D9+D11+D13+D15</f>
        <v>1</v>
      </c>
      <c r="E17" s="32">
        <f>E18/$H$18</f>
        <v>0.24052198415092205</v>
      </c>
      <c r="F17" s="32">
        <f>F18/$H$18</f>
        <v>0.34915191706328352</v>
      </c>
      <c r="G17" s="32">
        <f>G18/$H$18</f>
        <v>0.28456374034379017</v>
      </c>
      <c r="H17" s="19">
        <f>(H13+H11+H9)/3</f>
        <v>1</v>
      </c>
      <c r="I17" s="16"/>
    </row>
    <row r="18" spans="1:9" ht="23.1" customHeight="1" thickBot="1">
      <c r="A18" s="4"/>
      <c r="B18" s="173"/>
      <c r="C18" s="7" t="s">
        <v>46</v>
      </c>
      <c r="D18" s="64">
        <f>D10+D12+D14+D16</f>
        <v>1149965.95</v>
      </c>
      <c r="E18" s="11">
        <f t="shared" ref="E18:G18" si="2">E10+E12+E14</f>
        <v>276592.092</v>
      </c>
      <c r="F18" s="11">
        <f t="shared" si="2"/>
        <v>401512.81600000005</v>
      </c>
      <c r="G18" s="11">
        <f t="shared" si="2"/>
        <v>327238.61199999996</v>
      </c>
      <c r="H18" s="20">
        <f>H14+H12+H10+H16</f>
        <v>1149965.95</v>
      </c>
      <c r="I18" s="16"/>
    </row>
    <row r="19" spans="1:9" ht="20.25" customHeight="1">
      <c r="A19" s="4"/>
      <c r="B19" s="5"/>
      <c r="C19" s="5"/>
      <c r="D19" s="5"/>
      <c r="E19" s="5"/>
      <c r="F19" s="5"/>
      <c r="G19" s="5"/>
      <c r="H19" s="5"/>
      <c r="I19" s="16"/>
    </row>
    <row r="20" spans="1:9" ht="34.5" customHeight="1">
      <c r="A20" s="4"/>
      <c r="B20" s="166"/>
      <c r="C20" s="167"/>
      <c r="D20" s="167"/>
      <c r="E20" s="167"/>
      <c r="F20" s="167"/>
      <c r="G20" s="167"/>
      <c r="H20" s="167"/>
      <c r="I20" s="16"/>
    </row>
    <row r="21" spans="1:9">
      <c r="A21" s="4"/>
      <c r="B21" s="12"/>
      <c r="C21" s="5"/>
      <c r="D21" s="5"/>
      <c r="E21" s="5"/>
      <c r="F21" s="5"/>
      <c r="G21" s="5"/>
      <c r="H21" s="5"/>
      <c r="I21" s="16"/>
    </row>
    <row r="22" spans="1:9">
      <c r="A22" s="4"/>
      <c r="B22" s="168" t="s">
        <v>254</v>
      </c>
      <c r="C22" s="168"/>
      <c r="D22" s="168"/>
      <c r="E22" s="168"/>
      <c r="F22" s="168"/>
      <c r="G22" s="168"/>
      <c r="H22" s="168"/>
      <c r="I22" s="16"/>
    </row>
    <row r="23" spans="1:9">
      <c r="A23" s="4"/>
      <c r="B23" s="5"/>
      <c r="C23" s="5"/>
      <c r="D23" s="5"/>
      <c r="E23" s="5"/>
      <c r="F23" s="5"/>
      <c r="G23" s="5"/>
      <c r="H23" s="5"/>
      <c r="I23" s="16"/>
    </row>
    <row r="24" spans="1:9">
      <c r="A24" s="13"/>
      <c r="B24" s="14"/>
      <c r="C24" s="14"/>
      <c r="D24" s="14"/>
      <c r="E24" s="14"/>
      <c r="F24" s="14"/>
      <c r="G24" s="14"/>
      <c r="H24" s="14"/>
      <c r="I24" s="21"/>
    </row>
    <row r="26" spans="1:9">
      <c r="H26" s="31"/>
    </row>
    <row r="27" spans="1:9">
      <c r="H27" s="33"/>
    </row>
  </sheetData>
  <mergeCells count="13">
    <mergeCell ref="B7:H7"/>
    <mergeCell ref="B2:H2"/>
    <mergeCell ref="B3:H3"/>
    <mergeCell ref="B5:G5"/>
    <mergeCell ref="B6:H6"/>
    <mergeCell ref="C8:D8"/>
    <mergeCell ref="B20:H20"/>
    <mergeCell ref="B22:H22"/>
    <mergeCell ref="B9:B10"/>
    <mergeCell ref="B11:B12"/>
    <mergeCell ref="B13:B14"/>
    <mergeCell ref="B17:B18"/>
    <mergeCell ref="B15:B16"/>
  </mergeCells>
  <pageMargins left="0.51180555555555596" right="0.35416666666666702" top="0.39305555555555599" bottom="0.51180555555555596" header="0.31388888888888899" footer="0.31388888888888899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47"/>
  <sheetViews>
    <sheetView showZeros="0" view="pageBreakPreview" zoomScale="70" zoomScaleNormal="70" zoomScaleSheetLayoutView="70" workbookViewId="0">
      <selection activeCell="N3" sqref="N3"/>
    </sheetView>
  </sheetViews>
  <sheetFormatPr defaultColWidth="12.42578125" defaultRowHeight="12.75"/>
  <cols>
    <col min="1" max="1" width="18" style="29" customWidth="1"/>
    <col min="2" max="2" width="9.28515625" style="27" customWidth="1"/>
    <col min="3" max="3" width="6.7109375" style="27" customWidth="1"/>
    <col min="4" max="4" width="6.140625" style="27" customWidth="1"/>
    <col min="5" max="5" width="6" style="27" customWidth="1"/>
    <col min="6" max="6" width="11.7109375" style="27" customWidth="1"/>
    <col min="7" max="7" width="6" style="27" customWidth="1"/>
    <col min="8" max="9" width="9.42578125" style="27" customWidth="1"/>
    <col min="10" max="10" width="12.42578125" style="27" bestFit="1" customWidth="1"/>
    <col min="11" max="11" width="10.7109375" style="27" customWidth="1"/>
    <col min="12" max="12" width="9.7109375" style="27" customWidth="1"/>
    <col min="13" max="13" width="9.28515625" style="27" customWidth="1"/>
    <col min="14" max="14" width="9.7109375" style="27" customWidth="1"/>
    <col min="15" max="15" width="12.42578125" style="27" bestFit="1" customWidth="1"/>
    <col min="16" max="16" width="14.5703125" style="27" bestFit="1" customWidth="1"/>
    <col min="17" max="17" width="9.85546875" style="27" customWidth="1"/>
    <col min="18" max="18" width="10.7109375" style="27" bestFit="1" customWidth="1"/>
    <col min="19" max="19" width="12.42578125" style="27" bestFit="1" customWidth="1"/>
    <col min="20" max="20" width="9.7109375" style="27" customWidth="1"/>
    <col min="21" max="21" width="10.5703125" style="27" customWidth="1"/>
    <col min="22" max="22" width="9.28515625" style="27" customWidth="1"/>
    <col min="23" max="26" width="10" style="27" customWidth="1"/>
    <col min="27" max="27" width="10.42578125" style="27" customWidth="1"/>
    <col min="28" max="28" width="11.7109375" style="27" customWidth="1"/>
    <col min="29" max="29" width="11.85546875" style="27" customWidth="1"/>
    <col min="30" max="30" width="13.140625" style="27" customWidth="1"/>
    <col min="31" max="247" width="11.7109375" style="27" customWidth="1"/>
    <col min="248" max="249" width="9.140625" style="36" customWidth="1"/>
    <col min="250" max="16384" width="12.42578125" style="36"/>
  </cols>
  <sheetData>
    <row r="1" spans="1:256" ht="20.100000000000001" customHeight="1">
      <c r="A1" s="132" t="s">
        <v>47</v>
      </c>
      <c r="B1" s="133"/>
      <c r="C1" s="133"/>
      <c r="D1" s="133"/>
      <c r="E1" s="133"/>
      <c r="F1" s="133"/>
      <c r="G1" s="133"/>
      <c r="H1" s="35"/>
      <c r="I1" s="35"/>
      <c r="J1" s="35"/>
      <c r="K1" s="35"/>
      <c r="L1" s="35"/>
      <c r="M1" s="35"/>
      <c r="N1" s="35"/>
      <c r="O1" s="35"/>
    </row>
    <row r="2" spans="1:256" ht="20.100000000000001" customHeight="1">
      <c r="A2" s="34" t="s">
        <v>230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256" ht="20.100000000000001" customHeight="1">
      <c r="A3" s="37" t="s">
        <v>233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256" ht="13.15" customHeight="1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256" ht="13.15" customHeight="1">
      <c r="A5" s="188" t="s">
        <v>48</v>
      </c>
      <c r="B5" s="188" t="s">
        <v>49</v>
      </c>
      <c r="C5" s="188" t="s">
        <v>50</v>
      </c>
      <c r="D5" s="188"/>
      <c r="E5" s="188"/>
      <c r="F5" s="188" t="s">
        <v>51</v>
      </c>
      <c r="G5" s="188"/>
      <c r="H5" s="188"/>
      <c r="I5" s="188"/>
      <c r="J5" s="188"/>
      <c r="K5" s="190" t="s">
        <v>52</v>
      </c>
      <c r="L5" s="190"/>
      <c r="M5" s="190"/>
      <c r="N5" s="190"/>
      <c r="O5" s="190"/>
      <c r="P5" s="190"/>
      <c r="Q5" s="190"/>
      <c r="R5" s="190"/>
      <c r="S5" s="190"/>
      <c r="T5" s="188" t="s">
        <v>53</v>
      </c>
      <c r="U5" s="188"/>
      <c r="V5" s="188"/>
      <c r="W5" s="188"/>
      <c r="X5" s="188"/>
      <c r="Y5" s="188"/>
      <c r="Z5" s="24"/>
    </row>
    <row r="6" spans="1:256" s="27" customFormat="1" ht="13.15" customHeight="1">
      <c r="A6" s="188"/>
      <c r="B6" s="188"/>
      <c r="C6" s="188"/>
      <c r="D6" s="188"/>
      <c r="E6" s="188"/>
      <c r="F6" s="188"/>
      <c r="G6" s="188"/>
      <c r="H6" s="188"/>
      <c r="I6" s="188"/>
      <c r="J6" s="188"/>
      <c r="K6" s="190"/>
      <c r="L6" s="190"/>
      <c r="M6" s="190"/>
      <c r="N6" s="190"/>
      <c r="O6" s="190"/>
      <c r="P6" s="190"/>
      <c r="Q6" s="190"/>
      <c r="R6" s="190"/>
      <c r="S6" s="190"/>
      <c r="T6" s="187" t="s">
        <v>54</v>
      </c>
      <c r="U6" s="187" t="s">
        <v>55</v>
      </c>
      <c r="V6" s="188" t="s">
        <v>56</v>
      </c>
      <c r="W6" s="188" t="s">
        <v>57</v>
      </c>
      <c r="X6" s="188" t="s">
        <v>58</v>
      </c>
      <c r="Y6" s="188" t="s">
        <v>59</v>
      </c>
      <c r="Z6" s="188" t="s">
        <v>60</v>
      </c>
      <c r="AA6" s="188" t="s">
        <v>61</v>
      </c>
      <c r="AB6" s="186" t="s">
        <v>135</v>
      </c>
      <c r="AC6" s="186" t="s">
        <v>137</v>
      </c>
      <c r="AD6" s="186" t="s">
        <v>138</v>
      </c>
      <c r="IO6" s="38"/>
      <c r="IP6" s="38"/>
      <c r="IQ6" s="38"/>
      <c r="IR6" s="38"/>
      <c r="IS6" s="38"/>
      <c r="IT6" s="38"/>
      <c r="IU6" s="38"/>
      <c r="IV6" s="38"/>
    </row>
    <row r="7" spans="1:256" s="27" customFormat="1" ht="39.75" customHeight="1">
      <c r="A7" s="188"/>
      <c r="B7" s="188"/>
      <c r="C7" s="24" t="s">
        <v>62</v>
      </c>
      <c r="D7" s="24" t="s">
        <v>63</v>
      </c>
      <c r="E7" s="24" t="s">
        <v>64</v>
      </c>
      <c r="F7" s="27" t="s">
        <v>65</v>
      </c>
      <c r="G7" s="24" t="s">
        <v>66</v>
      </c>
      <c r="H7" s="24" t="s">
        <v>67</v>
      </c>
      <c r="I7" s="24" t="s">
        <v>68</v>
      </c>
      <c r="J7" s="24" t="s">
        <v>69</v>
      </c>
      <c r="K7" s="24" t="s">
        <v>70</v>
      </c>
      <c r="L7" s="24" t="s">
        <v>71</v>
      </c>
      <c r="M7" s="24" t="s">
        <v>72</v>
      </c>
      <c r="N7" s="24" t="s">
        <v>73</v>
      </c>
      <c r="O7" s="24" t="s">
        <v>74</v>
      </c>
      <c r="P7" s="24" t="s">
        <v>75</v>
      </c>
      <c r="Q7" s="24" t="s">
        <v>76</v>
      </c>
      <c r="R7" s="24" t="s">
        <v>77</v>
      </c>
      <c r="S7" s="24" t="s">
        <v>78</v>
      </c>
      <c r="T7" s="188"/>
      <c r="U7" s="188"/>
      <c r="V7" s="188"/>
      <c r="W7" s="188"/>
      <c r="X7" s="188"/>
      <c r="Y7" s="188"/>
      <c r="Z7" s="188"/>
      <c r="AA7" s="188"/>
      <c r="AB7" s="194"/>
      <c r="AC7" s="187"/>
      <c r="AD7" s="187"/>
      <c r="AE7" s="67" t="s">
        <v>226</v>
      </c>
      <c r="IO7" s="38"/>
      <c r="IP7" s="38"/>
      <c r="IQ7" s="38"/>
      <c r="IR7" s="38"/>
      <c r="IS7" s="38"/>
      <c r="IT7" s="38"/>
      <c r="IU7" s="38"/>
      <c r="IV7" s="38"/>
    </row>
    <row r="8" spans="1:256" s="27" customFormat="1" ht="18" customHeight="1">
      <c r="A8" s="188"/>
      <c r="B8" s="188"/>
      <c r="C8" s="24" t="s">
        <v>79</v>
      </c>
      <c r="D8" s="24" t="s">
        <v>79</v>
      </c>
      <c r="E8" s="24" t="s">
        <v>79</v>
      </c>
      <c r="F8" s="24"/>
      <c r="G8" s="24" t="s">
        <v>79</v>
      </c>
      <c r="H8" s="24" t="s">
        <v>80</v>
      </c>
      <c r="I8" s="24" t="s">
        <v>80</v>
      </c>
      <c r="J8" s="24" t="s">
        <v>81</v>
      </c>
      <c r="K8" s="25" t="s">
        <v>82</v>
      </c>
      <c r="L8" s="25" t="s">
        <v>82</v>
      </c>
      <c r="M8" s="24" t="s">
        <v>79</v>
      </c>
      <c r="N8" s="24" t="s">
        <v>80</v>
      </c>
      <c r="O8" s="24" t="s">
        <v>83</v>
      </c>
      <c r="P8" s="24" t="s">
        <v>83</v>
      </c>
      <c r="Q8" s="24" t="s">
        <v>83</v>
      </c>
      <c r="R8" s="24" t="s">
        <v>81</v>
      </c>
      <c r="S8" s="24" t="s">
        <v>81</v>
      </c>
      <c r="T8" s="24" t="s">
        <v>79</v>
      </c>
      <c r="U8" s="24" t="s">
        <v>79</v>
      </c>
      <c r="V8" s="24" t="s">
        <v>79</v>
      </c>
      <c r="W8" s="24" t="s">
        <v>79</v>
      </c>
      <c r="X8" s="24" t="s">
        <v>79</v>
      </c>
      <c r="Y8" s="24" t="s">
        <v>84</v>
      </c>
      <c r="Z8" s="24" t="s">
        <v>79</v>
      </c>
      <c r="AA8" s="27" t="s">
        <v>80</v>
      </c>
      <c r="AB8" s="39" t="s">
        <v>133</v>
      </c>
      <c r="AC8" s="39" t="s">
        <v>136</v>
      </c>
      <c r="AD8" s="39" t="s">
        <v>139</v>
      </c>
      <c r="IO8" s="38"/>
      <c r="IP8" s="38"/>
      <c r="IQ8" s="38"/>
      <c r="IR8" s="38"/>
      <c r="IS8" s="38"/>
      <c r="IT8" s="38"/>
      <c r="IU8" s="38"/>
      <c r="IV8" s="38"/>
    </row>
    <row r="9" spans="1:256" s="27" customFormat="1" ht="57" customHeight="1">
      <c r="A9" s="68" t="s">
        <v>256</v>
      </c>
      <c r="B9" s="70">
        <f>1117+500-17</f>
        <v>1600</v>
      </c>
      <c r="C9" s="24">
        <v>7</v>
      </c>
      <c r="D9" s="24"/>
      <c r="E9" s="24">
        <v>0.5</v>
      </c>
      <c r="F9" s="24">
        <f>B9*(C9+D9*2)</f>
        <v>11200</v>
      </c>
      <c r="G9" s="27">
        <v>0.15</v>
      </c>
      <c r="H9" s="27">
        <f>C9*B9*G9</f>
        <v>1680</v>
      </c>
      <c r="I9" s="27">
        <f t="shared" ref="I9:I11" si="0">H9</f>
        <v>1680</v>
      </c>
      <c r="J9" s="27">
        <f>I9*$Y$27</f>
        <v>16800</v>
      </c>
      <c r="K9" s="1">
        <f>(C9-(2*E9))*B9</f>
        <v>9600</v>
      </c>
      <c r="L9" s="25">
        <f t="shared" ref="L9:L11" si="1">K9</f>
        <v>9600</v>
      </c>
      <c r="M9" s="22">
        <v>0.03</v>
      </c>
      <c r="N9" s="24">
        <f>K9*M9</f>
        <v>288</v>
      </c>
      <c r="O9" s="24">
        <f>N9*$Y$28*$Y$38</f>
        <v>55296</v>
      </c>
      <c r="P9" s="24">
        <f>N9*$Y$33*$Y$29</f>
        <v>9331.1999999999989</v>
      </c>
      <c r="Q9" s="24">
        <f>((K9*$Y$34)+(L9*$Y$35))*$Y$30</f>
        <v>3769.92</v>
      </c>
      <c r="R9" s="24">
        <f>N9*$Y$36*$Y$31</f>
        <v>1139.7888</v>
      </c>
      <c r="S9" s="24">
        <f>N9*$Y$37*$Y$32</f>
        <v>3427.6608000000001</v>
      </c>
      <c r="T9" s="24">
        <f t="shared" ref="T9" si="2">B9</f>
        <v>1600</v>
      </c>
      <c r="U9" s="24"/>
      <c r="V9" s="24">
        <f t="shared" ref="V9" si="3">T9-U9</f>
        <v>1600</v>
      </c>
      <c r="W9" s="24">
        <f>((T9*2)-U9)</f>
        <v>3200</v>
      </c>
      <c r="X9" s="24">
        <f>W9</f>
        <v>3200</v>
      </c>
      <c r="Y9" s="24">
        <f>X9*D9</f>
        <v>0</v>
      </c>
      <c r="Z9" s="24"/>
      <c r="IO9" s="38"/>
      <c r="IP9" s="38"/>
      <c r="IQ9" s="38"/>
      <c r="IR9" s="38"/>
      <c r="IS9" s="38"/>
      <c r="IT9" s="38"/>
      <c r="IU9" s="38"/>
      <c r="IV9" s="38"/>
    </row>
    <row r="10" spans="1:256" s="74" customFormat="1" ht="68.25" customHeight="1">
      <c r="A10" s="129" t="s">
        <v>257</v>
      </c>
      <c r="B10" s="75">
        <f>204+796</f>
        <v>1000</v>
      </c>
      <c r="C10" s="75">
        <v>7</v>
      </c>
      <c r="D10" s="75"/>
      <c r="E10" s="75">
        <v>0.5</v>
      </c>
      <c r="F10" s="130"/>
      <c r="G10" s="129"/>
      <c r="H10" s="129">
        <f>C10*B10*G10</f>
        <v>0</v>
      </c>
      <c r="I10" s="129">
        <f t="shared" ref="I10" si="4">H10</f>
        <v>0</v>
      </c>
      <c r="J10" s="129">
        <f>I10*$Y$27</f>
        <v>0</v>
      </c>
      <c r="K10" s="1">
        <f>(C10-(2*E10))*B10</f>
        <v>6000</v>
      </c>
      <c r="L10" s="131">
        <f t="shared" ref="L10" si="5">K10</f>
        <v>6000</v>
      </c>
      <c r="M10" s="22">
        <v>0.03</v>
      </c>
      <c r="N10" s="130">
        <f>K10*M10</f>
        <v>180</v>
      </c>
      <c r="O10" s="130">
        <f>N10*$Y$28*$Y$38</f>
        <v>34560</v>
      </c>
      <c r="P10" s="130">
        <f>N10*$Y$33*$Y$29</f>
        <v>5832</v>
      </c>
      <c r="Q10" s="130">
        <f>((K10*$Y$34)+(L10*$Y$35))*$Y$30</f>
        <v>2356.1999999999998</v>
      </c>
      <c r="R10" s="130">
        <f>N10*$Y$36*$Y$31</f>
        <v>712.36800000000005</v>
      </c>
      <c r="S10" s="130">
        <f>N10*$Y$37*$Y$32</f>
        <v>2142.288</v>
      </c>
      <c r="T10" s="130">
        <f t="shared" ref="T10" si="6">B10</f>
        <v>1000</v>
      </c>
      <c r="U10" s="130"/>
      <c r="V10" s="130">
        <f t="shared" ref="V10" si="7">T10-U10</f>
        <v>1000</v>
      </c>
      <c r="W10" s="130">
        <f>((T10*2)-U10)</f>
        <v>2000</v>
      </c>
      <c r="X10" s="130">
        <f>W10</f>
        <v>2000</v>
      </c>
      <c r="Y10" s="130">
        <f>X10*D10</f>
        <v>0</v>
      </c>
      <c r="Z10" s="130"/>
      <c r="AA10" s="129"/>
      <c r="AB10" s="129"/>
      <c r="AC10" s="129"/>
      <c r="AD10" s="129"/>
      <c r="IO10" s="38"/>
      <c r="IP10" s="38"/>
      <c r="IQ10" s="38"/>
      <c r="IR10" s="38"/>
      <c r="IS10" s="38"/>
      <c r="IT10" s="38"/>
      <c r="IU10" s="38"/>
      <c r="IV10" s="38"/>
    </row>
    <row r="11" spans="1:256" s="27" customFormat="1" ht="15" customHeight="1">
      <c r="B11" s="24"/>
      <c r="C11" s="24"/>
      <c r="D11" s="24"/>
      <c r="E11" s="24"/>
      <c r="F11" s="24"/>
      <c r="H11" s="27">
        <f>F11*G11</f>
        <v>0</v>
      </c>
      <c r="I11" s="27">
        <f t="shared" si="0"/>
        <v>0</v>
      </c>
      <c r="J11" s="27">
        <f>I11*$Y$27</f>
        <v>0</v>
      </c>
      <c r="K11" s="24"/>
      <c r="L11" s="25">
        <f t="shared" si="1"/>
        <v>0</v>
      </c>
      <c r="M11" s="24"/>
      <c r="N11" s="24">
        <f t="shared" ref="N11" si="8">K11*M11</f>
        <v>0</v>
      </c>
      <c r="O11" s="24">
        <f>N11*$Y$28*$Y$38</f>
        <v>0</v>
      </c>
      <c r="P11" s="24">
        <f>N11*$Y$33*$Y$29</f>
        <v>0</v>
      </c>
      <c r="Q11" s="24">
        <f>((K11*$Y$34)+(L11*$Y$35))*$Y$30</f>
        <v>0</v>
      </c>
      <c r="R11" s="24">
        <f>N11*$Y$36*$Y$31</f>
        <v>0</v>
      </c>
      <c r="S11" s="24">
        <f>N11*$Y$37*$Y$32</f>
        <v>0</v>
      </c>
      <c r="T11" s="24"/>
      <c r="U11" s="24"/>
      <c r="V11" s="24"/>
      <c r="W11" s="24"/>
      <c r="X11" s="24"/>
      <c r="Y11" s="24"/>
      <c r="Z11" s="24"/>
      <c r="IO11" s="38"/>
      <c r="IP11" s="38"/>
      <c r="IQ11" s="38"/>
      <c r="IR11" s="38"/>
      <c r="IS11" s="38"/>
      <c r="IT11" s="38"/>
      <c r="IU11" s="38"/>
      <c r="IV11" s="38"/>
    </row>
    <row r="12" spans="1:256" s="27" customFormat="1" ht="18.399999999999999" customHeight="1">
      <c r="A12" s="28" t="s">
        <v>10</v>
      </c>
      <c r="B12" s="28">
        <f>SUM(B9:B11)</f>
        <v>2600</v>
      </c>
      <c r="C12" s="188"/>
      <c r="D12" s="188"/>
      <c r="E12" s="188"/>
      <c r="F12" s="28">
        <f>SUM(F9:F11)</f>
        <v>11200</v>
      </c>
      <c r="G12" s="24"/>
      <c r="H12" s="28">
        <f>SUM(H9:H11)</f>
        <v>1680</v>
      </c>
      <c r="I12" s="28">
        <f>SUM(I9:I11)</f>
        <v>1680</v>
      </c>
      <c r="J12" s="28">
        <f>SUM(J9:J11)</f>
        <v>16800</v>
      </c>
      <c r="K12" s="28">
        <f>SUM(K9:K11)</f>
        <v>15600</v>
      </c>
      <c r="L12" s="28">
        <f>SUM(L9:L11)</f>
        <v>15600</v>
      </c>
      <c r="M12" s="28"/>
      <c r="N12" s="28">
        <f t="shared" ref="N12:Y12" si="9">SUM(N9:N11)</f>
        <v>468</v>
      </c>
      <c r="O12" s="28">
        <f t="shared" si="9"/>
        <v>89856</v>
      </c>
      <c r="P12" s="28">
        <f t="shared" si="9"/>
        <v>15163.199999999999</v>
      </c>
      <c r="Q12" s="28">
        <f t="shared" si="9"/>
        <v>6126.12</v>
      </c>
      <c r="R12" s="28">
        <f t="shared" si="9"/>
        <v>1852.1568000000002</v>
      </c>
      <c r="S12" s="28">
        <f t="shared" si="9"/>
        <v>5569.9488000000001</v>
      </c>
      <c r="T12" s="28">
        <f t="shared" si="9"/>
        <v>2600</v>
      </c>
      <c r="U12" s="28">
        <f t="shared" si="9"/>
        <v>0</v>
      </c>
      <c r="V12" s="28">
        <f t="shared" si="9"/>
        <v>2600</v>
      </c>
      <c r="W12" s="28">
        <f t="shared" si="9"/>
        <v>5200</v>
      </c>
      <c r="X12" s="28">
        <f t="shared" si="9"/>
        <v>5200</v>
      </c>
      <c r="Y12" s="28">
        <f t="shared" si="9"/>
        <v>0</v>
      </c>
      <c r="Z12" s="28">
        <f>Y12*Z9</f>
        <v>0</v>
      </c>
      <c r="AA12" s="28"/>
      <c r="AB12" s="27">
        <f>SUM(AB9:AB11)</f>
        <v>0</v>
      </c>
      <c r="AC12" s="27">
        <f>SUM(AC9:AC11)</f>
        <v>0</v>
      </c>
      <c r="AD12" s="27">
        <f>SUM(AD9:AD9)</f>
        <v>0</v>
      </c>
      <c r="AE12" s="27">
        <f>(B12/20)*3-0.75</f>
        <v>389.25</v>
      </c>
      <c r="IO12" s="38"/>
      <c r="IP12" s="38"/>
      <c r="IQ12" s="38"/>
      <c r="IR12" s="38"/>
      <c r="IS12" s="38"/>
      <c r="IT12" s="38"/>
      <c r="IU12" s="38"/>
      <c r="IV12" s="38"/>
    </row>
    <row r="13" spans="1:256">
      <c r="A13" s="28"/>
      <c r="B13" s="28"/>
      <c r="K13" s="28"/>
      <c r="L13" s="28"/>
      <c r="M13" s="28"/>
      <c r="N13" s="28"/>
      <c r="O13" s="28"/>
      <c r="IN13" s="38"/>
      <c r="IO13" s="38"/>
      <c r="IP13" s="38"/>
      <c r="IQ13" s="38"/>
      <c r="IR13" s="38"/>
      <c r="IS13" s="38"/>
      <c r="IT13" s="38"/>
      <c r="IU13" s="38"/>
      <c r="IV13" s="38"/>
    </row>
    <row r="14" spans="1:256" ht="18.399999999999999" customHeight="1">
      <c r="A14" s="193" t="s">
        <v>85</v>
      </c>
      <c r="B14" s="193"/>
      <c r="C14" s="193"/>
      <c r="D14" s="193"/>
      <c r="E14" s="193"/>
      <c r="F14" s="193"/>
      <c r="G14" s="193"/>
      <c r="H14" s="193"/>
      <c r="I14" s="193"/>
      <c r="J14" s="193"/>
      <c r="K14" s="36"/>
      <c r="L14" s="36"/>
      <c r="M14" s="36"/>
      <c r="N14" s="193" t="s">
        <v>86</v>
      </c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30"/>
    </row>
    <row r="15" spans="1:256" ht="15.6" customHeight="1">
      <c r="A15" s="189" t="s">
        <v>87</v>
      </c>
      <c r="B15" s="189"/>
      <c r="C15" s="189"/>
      <c r="D15" s="189"/>
      <c r="E15" s="189"/>
      <c r="F15" s="189"/>
      <c r="G15" s="189"/>
      <c r="H15" s="189"/>
      <c r="I15" s="191" t="s">
        <v>62</v>
      </c>
      <c r="J15" s="191"/>
      <c r="K15" s="36"/>
      <c r="L15" s="36"/>
      <c r="M15" s="36"/>
      <c r="N15" s="192" t="s">
        <v>88</v>
      </c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26"/>
    </row>
    <row r="16" spans="1:256" ht="15.6" customHeight="1">
      <c r="A16" s="189" t="s">
        <v>89</v>
      </c>
      <c r="B16" s="189"/>
      <c r="C16" s="189"/>
      <c r="D16" s="189"/>
      <c r="E16" s="189"/>
      <c r="F16" s="189"/>
      <c r="G16" s="189"/>
      <c r="H16" s="189"/>
      <c r="I16" s="191" t="s">
        <v>63</v>
      </c>
      <c r="J16" s="191"/>
      <c r="K16" s="36"/>
      <c r="L16" s="36"/>
      <c r="M16" s="36"/>
      <c r="N16" s="189" t="s">
        <v>90</v>
      </c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26"/>
    </row>
    <row r="17" spans="1:246" ht="15.6" customHeight="1">
      <c r="A17" s="189" t="s">
        <v>91</v>
      </c>
      <c r="B17" s="189"/>
      <c r="C17" s="189"/>
      <c r="D17" s="189"/>
      <c r="E17" s="189"/>
      <c r="F17" s="189"/>
      <c r="G17" s="189"/>
      <c r="H17" s="189"/>
      <c r="I17" s="191" t="s">
        <v>64</v>
      </c>
      <c r="J17" s="191"/>
      <c r="K17" s="36"/>
      <c r="L17" s="36"/>
      <c r="M17" s="36"/>
      <c r="N17" s="189" t="s">
        <v>92</v>
      </c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26"/>
    </row>
    <row r="18" spans="1:246" ht="15.6" customHeight="1">
      <c r="A18" s="189" t="s">
        <v>93</v>
      </c>
      <c r="B18" s="189"/>
      <c r="C18" s="189"/>
      <c r="D18" s="189"/>
      <c r="E18" s="189"/>
      <c r="F18" s="189"/>
      <c r="G18" s="189"/>
      <c r="H18" s="189"/>
      <c r="I18" s="191" t="s">
        <v>66</v>
      </c>
      <c r="J18" s="191"/>
      <c r="K18" s="36"/>
      <c r="L18" s="36"/>
      <c r="M18" s="36"/>
      <c r="N18" s="189" t="s">
        <v>94</v>
      </c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26"/>
    </row>
    <row r="19" spans="1:246" ht="15.6" customHeight="1">
      <c r="A19" s="189" t="s">
        <v>95</v>
      </c>
      <c r="B19" s="189"/>
      <c r="C19" s="189"/>
      <c r="D19" s="189"/>
      <c r="E19" s="189"/>
      <c r="F19" s="189"/>
      <c r="G19" s="189"/>
      <c r="H19" s="189"/>
      <c r="I19" s="191" t="s">
        <v>67</v>
      </c>
      <c r="J19" s="191"/>
      <c r="K19" s="36"/>
      <c r="L19" s="36"/>
      <c r="M19" s="36"/>
      <c r="N19" s="189" t="s">
        <v>96</v>
      </c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26"/>
    </row>
    <row r="20" spans="1:246" ht="15.6" customHeight="1">
      <c r="A20" s="189" t="s">
        <v>97</v>
      </c>
      <c r="B20" s="189"/>
      <c r="C20" s="189"/>
      <c r="D20" s="189"/>
      <c r="E20" s="189"/>
      <c r="F20" s="189"/>
      <c r="G20" s="189"/>
      <c r="H20" s="189"/>
      <c r="I20" s="191" t="s">
        <v>68</v>
      </c>
      <c r="J20" s="191"/>
      <c r="K20" s="36"/>
      <c r="L20" s="36"/>
      <c r="M20" s="36"/>
      <c r="N20" s="189" t="s">
        <v>98</v>
      </c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26"/>
    </row>
    <row r="21" spans="1:246" ht="15.6" customHeight="1">
      <c r="A21" s="189" t="s">
        <v>99</v>
      </c>
      <c r="B21" s="189"/>
      <c r="C21" s="189"/>
      <c r="D21" s="189"/>
      <c r="E21" s="189"/>
      <c r="F21" s="189"/>
      <c r="G21" s="189"/>
      <c r="H21" s="189"/>
      <c r="I21" s="191" t="s">
        <v>70</v>
      </c>
      <c r="J21" s="191"/>
      <c r="K21" s="36"/>
      <c r="L21" s="36"/>
      <c r="M21" s="36"/>
      <c r="N21" s="189" t="s">
        <v>100</v>
      </c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26"/>
    </row>
    <row r="22" spans="1:246" ht="15.6" customHeight="1">
      <c r="A22" s="189" t="s">
        <v>101</v>
      </c>
      <c r="B22" s="189"/>
      <c r="C22" s="189"/>
      <c r="D22" s="189"/>
      <c r="E22" s="189"/>
      <c r="F22" s="189"/>
      <c r="G22" s="189"/>
      <c r="H22" s="189"/>
      <c r="I22" s="191" t="s">
        <v>102</v>
      </c>
      <c r="J22" s="191"/>
      <c r="K22" s="36"/>
      <c r="L22" s="36"/>
      <c r="M22" s="36"/>
      <c r="N22" s="189" t="s">
        <v>103</v>
      </c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26"/>
    </row>
    <row r="23" spans="1:246" ht="15.6" customHeight="1">
      <c r="A23" s="189" t="s">
        <v>104</v>
      </c>
      <c r="B23" s="189"/>
      <c r="C23" s="189"/>
      <c r="D23" s="189"/>
      <c r="E23" s="189"/>
      <c r="F23" s="189"/>
      <c r="G23" s="189"/>
      <c r="H23" s="189"/>
      <c r="I23" s="191" t="s">
        <v>69</v>
      </c>
      <c r="J23" s="191"/>
      <c r="K23" s="36"/>
      <c r="L23" s="36"/>
      <c r="M23" s="36"/>
      <c r="N23" s="189" t="s">
        <v>105</v>
      </c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26"/>
    </row>
    <row r="24" spans="1:246" ht="15.6" customHeight="1">
      <c r="A24" s="189" t="s">
        <v>106</v>
      </c>
      <c r="B24" s="189"/>
      <c r="C24" s="189"/>
      <c r="D24" s="189"/>
      <c r="E24" s="189"/>
      <c r="F24" s="189"/>
      <c r="G24" s="189"/>
      <c r="H24" s="189"/>
      <c r="I24" s="191" t="s">
        <v>72</v>
      </c>
      <c r="J24" s="191"/>
      <c r="K24" s="36"/>
      <c r="L24" s="36"/>
      <c r="M24" s="36"/>
      <c r="N24" s="189" t="s">
        <v>107</v>
      </c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26"/>
    </row>
    <row r="25" spans="1:246" ht="15.6" customHeight="1">
      <c r="A25" s="189" t="s">
        <v>108</v>
      </c>
      <c r="B25" s="189"/>
      <c r="C25" s="189"/>
      <c r="D25" s="189"/>
      <c r="E25" s="189"/>
      <c r="F25" s="189"/>
      <c r="G25" s="189"/>
      <c r="H25" s="189"/>
      <c r="I25" s="191" t="s">
        <v>73</v>
      </c>
      <c r="J25" s="191"/>
      <c r="K25" s="36"/>
      <c r="L25" s="36"/>
      <c r="M25" s="36"/>
      <c r="N25" s="189" t="s">
        <v>109</v>
      </c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69"/>
    </row>
    <row r="26" spans="1:246" ht="15.6" customHeight="1">
      <c r="A26" s="189" t="s">
        <v>110</v>
      </c>
      <c r="B26" s="189"/>
      <c r="C26" s="189"/>
      <c r="D26" s="189"/>
      <c r="E26" s="189"/>
      <c r="F26" s="189"/>
      <c r="G26" s="189"/>
      <c r="H26" s="189"/>
      <c r="I26" s="191" t="s">
        <v>74</v>
      </c>
      <c r="J26" s="191"/>
      <c r="K26" s="36"/>
      <c r="L26" s="36"/>
      <c r="M26" s="36"/>
      <c r="N26" s="193" t="s">
        <v>111</v>
      </c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30"/>
    </row>
    <row r="27" spans="1:246" ht="15.6" customHeight="1">
      <c r="A27" s="189" t="s">
        <v>112</v>
      </c>
      <c r="B27" s="189"/>
      <c r="C27" s="189"/>
      <c r="D27" s="189"/>
      <c r="E27" s="189"/>
      <c r="F27" s="189"/>
      <c r="G27" s="189"/>
      <c r="H27" s="189"/>
      <c r="I27" s="191" t="s">
        <v>113</v>
      </c>
      <c r="J27" s="191"/>
      <c r="K27" s="36"/>
      <c r="L27" s="36"/>
      <c r="M27" s="36"/>
      <c r="N27" s="189" t="s">
        <v>114</v>
      </c>
      <c r="O27" s="189"/>
      <c r="P27" s="189"/>
      <c r="Q27" s="189"/>
      <c r="R27" s="189"/>
      <c r="S27" s="189"/>
      <c r="T27" s="189"/>
      <c r="U27" s="189"/>
      <c r="V27" s="189"/>
      <c r="W27" s="189"/>
      <c r="X27" s="26"/>
      <c r="Y27" s="24">
        <v>10</v>
      </c>
      <c r="Z27" s="24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</row>
    <row r="28" spans="1:246" ht="15.6" customHeight="1">
      <c r="A28" s="189" t="s">
        <v>115</v>
      </c>
      <c r="B28" s="189"/>
      <c r="C28" s="189"/>
      <c r="D28" s="189"/>
      <c r="E28" s="189"/>
      <c r="F28" s="189"/>
      <c r="G28" s="189"/>
      <c r="H28" s="189"/>
      <c r="I28" s="191" t="s">
        <v>116</v>
      </c>
      <c r="J28" s="191"/>
      <c r="K28" s="36"/>
      <c r="L28" s="36"/>
      <c r="M28" s="36"/>
      <c r="N28" s="189" t="s">
        <v>117</v>
      </c>
      <c r="O28" s="189"/>
      <c r="P28" s="189"/>
      <c r="Q28" s="189"/>
      <c r="R28" s="189"/>
      <c r="S28" s="189"/>
      <c r="T28" s="189"/>
      <c r="U28" s="189"/>
      <c r="V28" s="189"/>
      <c r="W28" s="189"/>
      <c r="X28" s="26"/>
      <c r="Y28" s="24">
        <v>80</v>
      </c>
      <c r="Z28" s="24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</row>
    <row r="29" spans="1:246" ht="15.6" customHeight="1">
      <c r="A29" s="189" t="s">
        <v>118</v>
      </c>
      <c r="B29" s="189"/>
      <c r="C29" s="189"/>
      <c r="D29" s="189"/>
      <c r="E29" s="189"/>
      <c r="F29" s="189"/>
      <c r="G29" s="189"/>
      <c r="H29" s="189"/>
      <c r="I29" s="191" t="s">
        <v>77</v>
      </c>
      <c r="J29" s="191"/>
      <c r="K29" s="36"/>
      <c r="L29" s="36"/>
      <c r="M29" s="36"/>
      <c r="N29" s="189" t="s">
        <v>119</v>
      </c>
      <c r="O29" s="189"/>
      <c r="P29" s="189"/>
      <c r="Q29" s="189"/>
      <c r="R29" s="189"/>
      <c r="S29" s="189"/>
      <c r="T29" s="189"/>
      <c r="U29" s="189"/>
      <c r="V29" s="189"/>
      <c r="W29" s="189"/>
      <c r="X29" s="26"/>
      <c r="Y29" s="24">
        <v>225</v>
      </c>
      <c r="Z29" s="24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</row>
    <row r="30" spans="1:246" ht="15.6" customHeight="1">
      <c r="A30" s="189" t="s">
        <v>120</v>
      </c>
      <c r="B30" s="189"/>
      <c r="C30" s="189"/>
      <c r="D30" s="189"/>
      <c r="E30" s="189"/>
      <c r="F30" s="189"/>
      <c r="G30" s="189"/>
      <c r="H30" s="189"/>
      <c r="I30" s="191" t="s">
        <v>78</v>
      </c>
      <c r="J30" s="191"/>
      <c r="K30" s="36"/>
      <c r="L30" s="36"/>
      <c r="M30" s="36"/>
      <c r="N30" s="189" t="s">
        <v>121</v>
      </c>
      <c r="O30" s="189"/>
      <c r="P30" s="189"/>
      <c r="Q30" s="189"/>
      <c r="R30" s="189"/>
      <c r="S30" s="189"/>
      <c r="T30" s="189"/>
      <c r="U30" s="189"/>
      <c r="V30" s="189"/>
      <c r="W30" s="189"/>
      <c r="X30" s="26"/>
      <c r="Y30" s="24">
        <v>231</v>
      </c>
      <c r="Z30" s="24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</row>
    <row r="31" spans="1:246" ht="15.6" customHeight="1">
      <c r="A31" s="192" t="s">
        <v>122</v>
      </c>
      <c r="B31" s="189"/>
      <c r="C31" s="189"/>
      <c r="D31" s="189"/>
      <c r="E31" s="189"/>
      <c r="F31" s="189"/>
      <c r="G31" s="189"/>
      <c r="H31" s="189"/>
      <c r="I31" s="191" t="s">
        <v>65</v>
      </c>
      <c r="J31" s="191"/>
      <c r="K31" s="36"/>
      <c r="L31" s="36"/>
      <c r="M31" s="36"/>
      <c r="N31" s="189" t="s">
        <v>123</v>
      </c>
      <c r="O31" s="189"/>
      <c r="P31" s="189"/>
      <c r="Q31" s="189"/>
      <c r="R31" s="189"/>
      <c r="S31" s="189"/>
      <c r="T31" s="189"/>
      <c r="U31" s="189"/>
      <c r="V31" s="189"/>
      <c r="W31" s="189"/>
      <c r="X31" s="26"/>
      <c r="Y31" s="24">
        <v>17</v>
      </c>
      <c r="Z31" s="24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</row>
    <row r="32" spans="1:246" ht="15.6" customHeight="1">
      <c r="A32" s="38"/>
      <c r="B32" s="38"/>
      <c r="C32" s="38"/>
      <c r="D32" s="38"/>
      <c r="E32" s="38"/>
      <c r="F32" s="38"/>
      <c r="G32" s="38"/>
      <c r="H32" s="36"/>
      <c r="I32" s="36"/>
      <c r="J32" s="36"/>
      <c r="K32" s="36"/>
      <c r="L32" s="36"/>
      <c r="M32" s="36"/>
      <c r="N32" s="189" t="s">
        <v>124</v>
      </c>
      <c r="O32" s="189"/>
      <c r="P32" s="189"/>
      <c r="Q32" s="189"/>
      <c r="R32" s="189"/>
      <c r="S32" s="189"/>
      <c r="T32" s="189"/>
      <c r="U32" s="189"/>
      <c r="V32" s="189"/>
      <c r="W32" s="189"/>
      <c r="X32" s="26"/>
      <c r="Y32" s="24">
        <v>9</v>
      </c>
      <c r="Z32" s="24"/>
    </row>
    <row r="33" spans="1:26" ht="15.6" customHeight="1">
      <c r="A33" s="38"/>
      <c r="B33" s="38"/>
      <c r="C33" s="38"/>
      <c r="D33" s="38"/>
      <c r="E33" s="38"/>
      <c r="F33" s="38"/>
      <c r="G33" s="38"/>
      <c r="H33" s="36"/>
      <c r="I33" s="36"/>
      <c r="J33" s="36"/>
      <c r="K33" s="36"/>
      <c r="L33" s="36"/>
      <c r="M33" s="36"/>
      <c r="N33" s="189" t="s">
        <v>125</v>
      </c>
      <c r="O33" s="189"/>
      <c r="P33" s="189"/>
      <c r="Q33" s="189"/>
      <c r="R33" s="189"/>
      <c r="S33" s="189"/>
      <c r="T33" s="189"/>
      <c r="U33" s="189"/>
      <c r="V33" s="189"/>
      <c r="W33" s="189"/>
      <c r="X33" s="26"/>
      <c r="Y33" s="22">
        <v>0.14399999999999999</v>
      </c>
      <c r="Z33" s="24"/>
    </row>
    <row r="34" spans="1:26" ht="15.6" customHeight="1">
      <c r="A34" s="36"/>
      <c r="G34" s="36"/>
      <c r="H34" s="36"/>
      <c r="I34" s="36"/>
      <c r="J34" s="36"/>
      <c r="K34" s="36"/>
      <c r="L34" s="36"/>
      <c r="M34" s="36"/>
      <c r="N34" s="189" t="s">
        <v>126</v>
      </c>
      <c r="O34" s="189"/>
      <c r="P34" s="189"/>
      <c r="Q34" s="189"/>
      <c r="R34" s="189"/>
      <c r="S34" s="189"/>
      <c r="T34" s="189"/>
      <c r="U34" s="189"/>
      <c r="V34" s="189"/>
      <c r="W34" s="189"/>
      <c r="X34" s="26"/>
      <c r="Y34" s="23">
        <v>1.1999999999999999E-3</v>
      </c>
      <c r="Z34" s="24"/>
    </row>
    <row r="35" spans="1:26" ht="15.6" customHeight="1">
      <c r="A35" s="36"/>
      <c r="G35" s="36"/>
      <c r="H35" s="36"/>
      <c r="I35" s="36"/>
      <c r="J35" s="36"/>
      <c r="K35" s="36"/>
      <c r="N35" s="189" t="s">
        <v>127</v>
      </c>
      <c r="O35" s="189"/>
      <c r="P35" s="189"/>
      <c r="Q35" s="189"/>
      <c r="R35" s="189"/>
      <c r="S35" s="189"/>
      <c r="T35" s="189"/>
      <c r="U35" s="189"/>
      <c r="V35" s="189"/>
      <c r="W35" s="189"/>
      <c r="X35" s="26"/>
      <c r="Y35" s="23">
        <v>5.0000000000000001E-4</v>
      </c>
      <c r="Z35" s="24"/>
    </row>
    <row r="36" spans="1:26" ht="18.399999999999999" customHeight="1">
      <c r="A36" s="36"/>
      <c r="G36" s="36"/>
      <c r="H36" s="36"/>
      <c r="I36" s="36"/>
      <c r="J36" s="36"/>
      <c r="K36" s="36"/>
      <c r="N36" s="189" t="s">
        <v>128</v>
      </c>
      <c r="O36" s="189"/>
      <c r="P36" s="189"/>
      <c r="Q36" s="189"/>
      <c r="R36" s="189"/>
      <c r="S36" s="189"/>
      <c r="T36" s="189"/>
      <c r="U36" s="189"/>
      <c r="V36" s="189"/>
      <c r="W36" s="189"/>
      <c r="X36" s="26"/>
      <c r="Y36" s="24">
        <v>0.23280000000000001</v>
      </c>
      <c r="Z36" s="24"/>
    </row>
    <row r="37" spans="1:26" ht="18.399999999999999" customHeight="1">
      <c r="A37" s="36"/>
      <c r="G37" s="36"/>
      <c r="H37" s="36"/>
      <c r="I37" s="36"/>
      <c r="J37" s="36"/>
      <c r="K37" s="36"/>
      <c r="N37" s="189" t="s">
        <v>129</v>
      </c>
      <c r="O37" s="189"/>
      <c r="P37" s="189"/>
      <c r="Q37" s="189"/>
      <c r="R37" s="189"/>
      <c r="S37" s="189"/>
      <c r="T37" s="189"/>
      <c r="U37" s="189"/>
      <c r="V37" s="189"/>
      <c r="W37" s="189"/>
      <c r="X37" s="26"/>
      <c r="Y37" s="24">
        <v>1.3224</v>
      </c>
      <c r="Z37" s="24"/>
    </row>
    <row r="38" spans="1:26" ht="18.399999999999999" customHeight="1">
      <c r="A38" s="36"/>
      <c r="G38" s="36"/>
      <c r="H38" s="36"/>
      <c r="I38" s="36"/>
      <c r="J38" s="36"/>
      <c r="K38" s="36"/>
      <c r="N38" s="189" t="s">
        <v>130</v>
      </c>
      <c r="O38" s="189"/>
      <c r="P38" s="189"/>
      <c r="Q38" s="189"/>
      <c r="R38" s="189"/>
      <c r="S38" s="189"/>
      <c r="T38" s="189"/>
      <c r="U38" s="189"/>
      <c r="V38" s="189"/>
      <c r="W38" s="189"/>
      <c r="X38" s="26"/>
      <c r="Y38" s="24">
        <v>2.4</v>
      </c>
      <c r="Z38" s="24"/>
    </row>
    <row r="39" spans="1:26" ht="18.399999999999999" customHeight="1">
      <c r="A39" s="36"/>
      <c r="G39" s="36"/>
      <c r="H39" s="36"/>
      <c r="I39" s="36"/>
      <c r="J39" s="36"/>
      <c r="K39" s="36"/>
    </row>
    <row r="42" spans="1:26">
      <c r="A42" s="187"/>
      <c r="B42" s="187"/>
      <c r="C42" s="187"/>
      <c r="D42" s="187"/>
      <c r="E42" s="187"/>
      <c r="F42" s="187"/>
      <c r="G42" s="187"/>
      <c r="H42" s="187"/>
    </row>
    <row r="43" spans="1:26">
      <c r="A43" s="187"/>
      <c r="B43" s="187"/>
      <c r="C43" s="187"/>
      <c r="D43" s="187"/>
      <c r="E43" s="187"/>
      <c r="F43" s="187"/>
      <c r="G43" s="187"/>
      <c r="H43" s="187"/>
    </row>
    <row r="47" spans="1:26" ht="47.1" customHeight="1"/>
  </sheetData>
  <sheetProtection selectLockedCells="1" selectUnlockedCells="1"/>
  <mergeCells count="80">
    <mergeCell ref="AB6:AB7"/>
    <mergeCell ref="AC6:AC7"/>
    <mergeCell ref="C12:E12"/>
    <mergeCell ref="A14:J14"/>
    <mergeCell ref="N14:Y14"/>
    <mergeCell ref="U6:U7"/>
    <mergeCell ref="V6:V7"/>
    <mergeCell ref="W6:W7"/>
    <mergeCell ref="Z6:Z7"/>
    <mergeCell ref="AA6:AA7"/>
    <mergeCell ref="Y6:Y7"/>
    <mergeCell ref="X6:X7"/>
    <mergeCell ref="A15:H15"/>
    <mergeCell ref="I15:J15"/>
    <mergeCell ref="N15:Y15"/>
    <mergeCell ref="A16:H16"/>
    <mergeCell ref="I16:J16"/>
    <mergeCell ref="N16:Y16"/>
    <mergeCell ref="A17:H17"/>
    <mergeCell ref="I17:J17"/>
    <mergeCell ref="N17:Y17"/>
    <mergeCell ref="A18:H18"/>
    <mergeCell ref="I18:J18"/>
    <mergeCell ref="N18:Y18"/>
    <mergeCell ref="A19:H19"/>
    <mergeCell ref="I19:J19"/>
    <mergeCell ref="N19:Y19"/>
    <mergeCell ref="A20:H20"/>
    <mergeCell ref="I20:J20"/>
    <mergeCell ref="N20:Y20"/>
    <mergeCell ref="A21:H21"/>
    <mergeCell ref="I21:J21"/>
    <mergeCell ref="N21:Y21"/>
    <mergeCell ref="A22:H22"/>
    <mergeCell ref="I22:J22"/>
    <mergeCell ref="N22:Y22"/>
    <mergeCell ref="N26:Y26"/>
    <mergeCell ref="A23:H23"/>
    <mergeCell ref="I23:J23"/>
    <mergeCell ref="N23:Y23"/>
    <mergeCell ref="A24:H24"/>
    <mergeCell ref="I24:J24"/>
    <mergeCell ref="N24:Y24"/>
    <mergeCell ref="A25:H25"/>
    <mergeCell ref="I25:J25"/>
    <mergeCell ref="N25:Y25"/>
    <mergeCell ref="A26:H26"/>
    <mergeCell ref="I26:J26"/>
    <mergeCell ref="N38:W38"/>
    <mergeCell ref="A29:H29"/>
    <mergeCell ref="I29:J29"/>
    <mergeCell ref="N29:W29"/>
    <mergeCell ref="I30:J30"/>
    <mergeCell ref="N30:W30"/>
    <mergeCell ref="A31:H31"/>
    <mergeCell ref="I31:J31"/>
    <mergeCell ref="N31:W31"/>
    <mergeCell ref="N37:W37"/>
    <mergeCell ref="A27:H27"/>
    <mergeCell ref="I27:J27"/>
    <mergeCell ref="N27:W27"/>
    <mergeCell ref="A28:H28"/>
    <mergeCell ref="I28:J28"/>
    <mergeCell ref="N28:W28"/>
    <mergeCell ref="AD6:AD7"/>
    <mergeCell ref="A42:H42"/>
    <mergeCell ref="A43:H43"/>
    <mergeCell ref="A5:A8"/>
    <mergeCell ref="B5:B8"/>
    <mergeCell ref="T6:T7"/>
    <mergeCell ref="N32:W32"/>
    <mergeCell ref="N33:W33"/>
    <mergeCell ref="N34:W34"/>
    <mergeCell ref="N35:W35"/>
    <mergeCell ref="N36:W36"/>
    <mergeCell ref="A30:H30"/>
    <mergeCell ref="C5:E6"/>
    <mergeCell ref="F5:J6"/>
    <mergeCell ref="K5:S6"/>
    <mergeCell ref="T5:Y5"/>
  </mergeCells>
  <printOptions horizontalCentered="1"/>
  <pageMargins left="0.59027777777777801" right="0.59027777777777801" top="0.59027777777777801" bottom="0.86527777777777803" header="0.51180555555555596" footer="0.59027777777777801"/>
  <pageSetup paperSize="9" scale="43" firstPageNumber="0" orientation="landscape" useFirstPageNumber="1" horizontalDpi="300" verticalDpi="300" r:id="rId1"/>
  <headerFooter alignWithMargins="0">
    <oddFooter>&amp;L&amp;"Times New Roman,Normal"&amp;12&amp;A&amp;R&amp;"Times New Roman,Normal"&amp;12folha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T32"/>
  <sheetViews>
    <sheetView tabSelected="1" view="pageBreakPreview" zoomScale="60" workbookViewId="0">
      <selection activeCell="AB19" sqref="AB19"/>
    </sheetView>
  </sheetViews>
  <sheetFormatPr defaultColWidth="9" defaultRowHeight="15"/>
  <cols>
    <col min="1" max="5" width="9" style="41"/>
    <col min="6" max="7" width="9" style="45"/>
    <col min="8" max="10" width="9" style="46"/>
    <col min="11" max="11" width="9" style="47"/>
    <col min="12" max="18" width="9" style="46"/>
    <col min="19" max="20" width="9" style="48"/>
    <col min="21" max="16384" width="9" style="41"/>
  </cols>
  <sheetData>
    <row r="1" spans="1:20" ht="21">
      <c r="A1" s="195" t="s">
        <v>162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</row>
    <row r="2" spans="1:20" ht="24" customHeight="1">
      <c r="A2" s="196" t="s">
        <v>163</v>
      </c>
      <c r="B2" s="197" t="s">
        <v>164</v>
      </c>
      <c r="C2" s="198" t="s">
        <v>49</v>
      </c>
      <c r="D2" s="198" t="s">
        <v>165</v>
      </c>
      <c r="E2" s="198"/>
      <c r="F2" s="198"/>
      <c r="G2" s="198"/>
      <c r="H2" s="198" t="s">
        <v>166</v>
      </c>
      <c r="I2" s="198" t="s">
        <v>167</v>
      </c>
      <c r="J2" s="198" t="s">
        <v>168</v>
      </c>
      <c r="K2" s="198"/>
      <c r="L2" s="198" t="s">
        <v>169</v>
      </c>
      <c r="M2" s="198" t="s">
        <v>170</v>
      </c>
      <c r="N2" s="198" t="s">
        <v>171</v>
      </c>
      <c r="O2" s="198" t="s">
        <v>172</v>
      </c>
      <c r="P2" s="198" t="s">
        <v>173</v>
      </c>
      <c r="Q2" s="198" t="s">
        <v>174</v>
      </c>
      <c r="R2" s="198" t="s">
        <v>175</v>
      </c>
      <c r="S2" s="198" t="s">
        <v>176</v>
      </c>
      <c r="T2" s="198" t="s">
        <v>177</v>
      </c>
    </row>
    <row r="3" spans="1:20" ht="22.5">
      <c r="A3" s="196"/>
      <c r="B3" s="197"/>
      <c r="C3" s="198"/>
      <c r="D3" s="42" t="s">
        <v>178</v>
      </c>
      <c r="E3" s="42" t="s">
        <v>179</v>
      </c>
      <c r="F3" s="42" t="s">
        <v>180</v>
      </c>
      <c r="G3" s="42" t="s">
        <v>181</v>
      </c>
      <c r="H3" s="198"/>
      <c r="I3" s="198"/>
      <c r="J3" s="42" t="s">
        <v>182</v>
      </c>
      <c r="K3" s="42" t="s">
        <v>183</v>
      </c>
      <c r="L3" s="198"/>
      <c r="M3" s="198"/>
      <c r="N3" s="198"/>
      <c r="O3" s="198"/>
      <c r="P3" s="198"/>
      <c r="Q3" s="198"/>
      <c r="R3" s="198"/>
      <c r="S3" s="198"/>
      <c r="T3" s="198"/>
    </row>
    <row r="4" spans="1:20">
      <c r="A4" s="43"/>
      <c r="B4" s="42">
        <v>0.8</v>
      </c>
      <c r="C4" s="42">
        <v>50</v>
      </c>
      <c r="D4" s="42">
        <v>1.6</v>
      </c>
      <c r="E4" s="42">
        <v>2.0299999999999998</v>
      </c>
      <c r="F4" s="42">
        <f t="shared" ref="F4:F6" si="0">(D4+E4)/2</f>
        <v>1.8149999999999999</v>
      </c>
      <c r="G4" s="42">
        <f>(VLOOKUP(B4,'[1]qtde berço'!$A$5:$I$15,4)/100)+F4</f>
        <v>1.94</v>
      </c>
      <c r="H4" s="42">
        <f>IF(F4&lt;=1.5,VLOOKUP(B4,'[1]largura da vala'!$A$4:$C$10,2,0),IF(F4&gt;1.5,VLOOKUP(B4,'[1]largura da vala'!$A$4:$C$10,3,0)))</f>
        <v>1.6</v>
      </c>
      <c r="I4" s="42"/>
      <c r="J4" s="42">
        <f t="shared" ref="J4:J6" si="1">IF(F4&lt;=3,G4*H4*C4,0)</f>
        <v>155.20000000000002</v>
      </c>
      <c r="K4" s="42">
        <f t="shared" ref="K4:K6" si="2">IF(F4&gt;3,G4*H4*C4,0)</f>
        <v>0</v>
      </c>
      <c r="L4" s="42">
        <f t="shared" ref="L4:L6" si="3">H4*C4</f>
        <v>80</v>
      </c>
      <c r="M4" s="42">
        <f t="shared" ref="M4:M5" si="4">IF(F4&gt;1.7,F4*C4*2,0)</f>
        <v>181.5</v>
      </c>
      <c r="N4" s="42">
        <f>VLOOKUP(B4,'[1]qtde berço'!$A$5:$I$15,7,0)*C4</f>
        <v>21.5</v>
      </c>
      <c r="O4" s="42">
        <f>VLOOKUP(B4,'[1]qtde berço'!$A$5:$I$15,8,FALSE)*'[1]Quant. Drenagem'!C9</f>
        <v>123.2</v>
      </c>
      <c r="P4" s="42">
        <f>VLOOKUP(B4,'[1]qtde berço'!$A$5:$I$15,9)*C4</f>
        <v>30.5</v>
      </c>
      <c r="Q4" s="42">
        <f t="shared" ref="Q4:Q6" si="5">((F4-B4)*H4*C4)-P4</f>
        <v>50.699999999999989</v>
      </c>
      <c r="R4" s="42">
        <f t="shared" ref="R4:R6" si="6">J4</f>
        <v>155.20000000000002</v>
      </c>
      <c r="S4" s="42">
        <f t="shared" ref="S4:S6" si="7">P4+Q4</f>
        <v>81.199999999999989</v>
      </c>
      <c r="T4" s="42">
        <f t="shared" ref="T4:T6" si="8">S4*5</f>
        <v>405.99999999999994</v>
      </c>
    </row>
    <row r="5" spans="1:20">
      <c r="A5" s="43"/>
      <c r="B5" s="42">
        <v>0.6</v>
      </c>
      <c r="C5" s="42">
        <v>200</v>
      </c>
      <c r="D5" s="42">
        <v>1.4</v>
      </c>
      <c r="E5" s="42">
        <v>1.6</v>
      </c>
      <c r="F5" s="42">
        <f t="shared" si="0"/>
        <v>1.5</v>
      </c>
      <c r="G5" s="42">
        <f>(VLOOKUP(B5,'[1]qtde berço'!$A$5:$I$15,4)/100)+F5</f>
        <v>1.605</v>
      </c>
      <c r="H5" s="42">
        <f>IF(F5&lt;=1.5,VLOOKUP(B5,'[1]largura da vala'!$A$4:$C$10,2,0),IF(F5&gt;1.5,VLOOKUP(B5,'[1]largura da vala'!$A$4:$C$10,3,0)))</f>
        <v>1</v>
      </c>
      <c r="I5" s="42"/>
      <c r="J5" s="42">
        <f t="shared" si="1"/>
        <v>321</v>
      </c>
      <c r="K5" s="42">
        <f t="shared" si="2"/>
        <v>0</v>
      </c>
      <c r="L5" s="42">
        <f t="shared" si="3"/>
        <v>200</v>
      </c>
      <c r="M5" s="42">
        <f t="shared" si="4"/>
        <v>0</v>
      </c>
      <c r="N5" s="42">
        <f>VLOOKUP(B5,'[1]qtde berço'!$A$5:$I$15,7,0)*C5</f>
        <v>50</v>
      </c>
      <c r="O5" s="42">
        <f>VLOOKUP(B5,'[1]qtde berço'!$A$5:$I$15,8,FALSE)*'[1]Quant. Drenagem'!C10</f>
        <v>0</v>
      </c>
      <c r="P5" s="42">
        <f>VLOOKUP(B5,'[1]qtde berço'!$A$5:$I$15,9)*C5</f>
        <v>82</v>
      </c>
      <c r="Q5" s="42">
        <f t="shared" si="5"/>
        <v>98</v>
      </c>
      <c r="R5" s="42">
        <f t="shared" si="6"/>
        <v>321</v>
      </c>
      <c r="S5" s="42">
        <f t="shared" si="7"/>
        <v>180</v>
      </c>
      <c r="T5" s="42">
        <f t="shared" si="8"/>
        <v>900</v>
      </c>
    </row>
    <row r="6" spans="1:20">
      <c r="A6" s="43"/>
      <c r="B6" s="42">
        <v>0.4</v>
      </c>
      <c r="C6" s="42">
        <v>50</v>
      </c>
      <c r="D6" s="42">
        <v>1</v>
      </c>
      <c r="E6" s="42">
        <v>1.6</v>
      </c>
      <c r="F6" s="42">
        <f t="shared" si="0"/>
        <v>1.3</v>
      </c>
      <c r="G6" s="42">
        <f>(VLOOKUP(B6,'[1]qtde berço'!$A$5:$I$15,4)/100)+F6</f>
        <v>1.365</v>
      </c>
      <c r="H6" s="42">
        <f>IF(F6&lt;=1.5,VLOOKUP(B6,'[1]largura da vala'!$A$4:$C$10,2,0),IF(F6&gt;1.5,VLOOKUP(B6,'[1]largura da vala'!$A$4:$C$10,3,0)))</f>
        <v>0.8</v>
      </c>
      <c r="I6" s="42"/>
      <c r="J6" s="42">
        <f t="shared" si="1"/>
        <v>54.6</v>
      </c>
      <c r="K6" s="42">
        <f t="shared" si="2"/>
        <v>0</v>
      </c>
      <c r="L6" s="42">
        <f t="shared" si="3"/>
        <v>40</v>
      </c>
      <c r="M6" s="42"/>
      <c r="N6" s="42">
        <f>VLOOKUP(B6,'[1]qtde berço'!$A$5:$I$15,7,0)*C6</f>
        <v>2.5</v>
      </c>
      <c r="O6" s="42">
        <f>VLOOKUP(B6,'[1]qtde berço'!$A$5:$I$15,8,FALSE)*'[1]Quant. Drenagem'!C11</f>
        <v>10</v>
      </c>
      <c r="P6" s="42">
        <f>VLOOKUP(B6,'[1]qtde berço'!$A$5:$I$15,9)*C6</f>
        <v>15</v>
      </c>
      <c r="Q6" s="42">
        <f t="shared" si="5"/>
        <v>21.000000000000007</v>
      </c>
      <c r="R6" s="42">
        <f t="shared" si="6"/>
        <v>54.6</v>
      </c>
      <c r="S6" s="42">
        <f t="shared" si="7"/>
        <v>36.000000000000007</v>
      </c>
      <c r="T6" s="42">
        <f t="shared" si="8"/>
        <v>180.00000000000003</v>
      </c>
    </row>
    <row r="7" spans="1:20">
      <c r="A7" s="202" t="s">
        <v>10</v>
      </c>
      <c r="B7" s="202"/>
      <c r="C7" s="44">
        <f>SUM(C4:C6)</f>
        <v>300</v>
      </c>
      <c r="D7" s="203"/>
      <c r="E7" s="203"/>
      <c r="F7" s="203"/>
      <c r="G7" s="203"/>
      <c r="H7" s="203"/>
      <c r="I7" s="44">
        <f t="shared" ref="I7:T7" si="9">SUM(I4:I6)</f>
        <v>0</v>
      </c>
      <c r="J7" s="44">
        <f t="shared" si="9"/>
        <v>530.80000000000007</v>
      </c>
      <c r="K7" s="44">
        <f t="shared" si="9"/>
        <v>0</v>
      </c>
      <c r="L7" s="44">
        <f t="shared" si="9"/>
        <v>320</v>
      </c>
      <c r="M7" s="44">
        <f t="shared" si="9"/>
        <v>181.5</v>
      </c>
      <c r="N7" s="44">
        <f t="shared" si="9"/>
        <v>74</v>
      </c>
      <c r="O7" s="44">
        <f t="shared" si="9"/>
        <v>133.19999999999999</v>
      </c>
      <c r="P7" s="44">
        <f t="shared" si="9"/>
        <v>127.5</v>
      </c>
      <c r="Q7" s="44">
        <f t="shared" si="9"/>
        <v>169.7</v>
      </c>
      <c r="R7" s="44">
        <f t="shared" si="9"/>
        <v>530.80000000000007</v>
      </c>
      <c r="S7" s="44">
        <f t="shared" si="9"/>
        <v>297.2</v>
      </c>
      <c r="T7" s="44">
        <f t="shared" si="9"/>
        <v>1486</v>
      </c>
    </row>
    <row r="8" spans="1:20">
      <c r="B8" s="202" t="s">
        <v>185</v>
      </c>
      <c r="C8" s="202"/>
      <c r="D8" s="202"/>
      <c r="G8" s="71">
        <v>800</v>
      </c>
      <c r="H8" s="72">
        <v>600</v>
      </c>
      <c r="I8" s="72">
        <v>400</v>
      </c>
      <c r="J8" s="73" t="s">
        <v>196</v>
      </c>
      <c r="K8" s="73" t="s">
        <v>199</v>
      </c>
      <c r="L8" s="73" t="s">
        <v>201</v>
      </c>
    </row>
    <row r="9" spans="1:20">
      <c r="B9" s="202" t="s">
        <v>186</v>
      </c>
      <c r="C9" s="202"/>
      <c r="D9" s="202" t="s">
        <v>187</v>
      </c>
      <c r="G9" s="45">
        <v>15.13</v>
      </c>
      <c r="H9" s="46">
        <v>12</v>
      </c>
      <c r="I9" s="46">
        <v>14.04</v>
      </c>
      <c r="J9" s="46">
        <v>20</v>
      </c>
      <c r="K9" s="47">
        <v>10</v>
      </c>
      <c r="L9" s="46">
        <v>4</v>
      </c>
    </row>
    <row r="10" spans="1:20">
      <c r="B10" s="49" t="s">
        <v>37</v>
      </c>
      <c r="C10" s="49" t="s">
        <v>188</v>
      </c>
      <c r="D10" s="202"/>
      <c r="G10" s="45">
        <v>7.92</v>
      </c>
      <c r="H10" s="46">
        <v>1.77</v>
      </c>
      <c r="I10" s="46">
        <v>1.94</v>
      </c>
      <c r="L10" s="46">
        <v>5</v>
      </c>
    </row>
    <row r="11" spans="1:20">
      <c r="B11" s="50">
        <v>0.4</v>
      </c>
      <c r="C11" s="51">
        <f>B11*1000</f>
        <v>400</v>
      </c>
      <c r="D11" s="51">
        <v>50</v>
      </c>
      <c r="G11" s="45">
        <v>72.98</v>
      </c>
      <c r="H11" s="46">
        <v>33.130000000000003</v>
      </c>
      <c r="I11" s="46">
        <v>6.47</v>
      </c>
    </row>
    <row r="12" spans="1:20">
      <c r="B12" s="50">
        <v>0.6</v>
      </c>
      <c r="C12" s="51">
        <f>B12*1000</f>
        <v>600</v>
      </c>
      <c r="D12" s="51">
        <v>200</v>
      </c>
      <c r="G12" s="45">
        <v>35.68</v>
      </c>
      <c r="H12" s="46">
        <v>23.81</v>
      </c>
      <c r="I12" s="46">
        <v>5.99</v>
      </c>
    </row>
    <row r="13" spans="1:20">
      <c r="B13" s="50">
        <v>0.8</v>
      </c>
      <c r="C13" s="51">
        <f>B13*1000</f>
        <v>800</v>
      </c>
      <c r="D13" s="51">
        <v>50</v>
      </c>
      <c r="G13" s="45">
        <v>29.37</v>
      </c>
      <c r="H13" s="46">
        <v>48.14</v>
      </c>
      <c r="I13" s="46">
        <v>2.2200000000000002</v>
      </c>
    </row>
    <row r="14" spans="1:20">
      <c r="B14" s="50">
        <v>1</v>
      </c>
      <c r="C14" s="51">
        <f>B14*1000</f>
        <v>1000</v>
      </c>
      <c r="D14" s="51">
        <f>SUMIF($B$4:$B$6,B14,$C$4:$C$6)</f>
        <v>0</v>
      </c>
      <c r="G14" s="45">
        <v>14.12</v>
      </c>
      <c r="H14" s="46">
        <v>28.95</v>
      </c>
      <c r="I14" s="46">
        <v>7</v>
      </c>
    </row>
    <row r="15" spans="1:20">
      <c r="B15" s="50">
        <v>1.2</v>
      </c>
      <c r="C15" s="51">
        <f>B15*1000</f>
        <v>1200</v>
      </c>
      <c r="D15" s="51">
        <f>SUMIF($B$4:$B$6,B15,$C$4:$C$6)</f>
        <v>0</v>
      </c>
      <c r="G15" s="45">
        <f>SUM(G9:G14)</f>
        <v>175.20000000000002</v>
      </c>
      <c r="H15" s="46">
        <v>28.97</v>
      </c>
      <c r="I15" s="46">
        <v>4.7300000000000004</v>
      </c>
    </row>
    <row r="16" spans="1:20">
      <c r="B16" s="199" t="s">
        <v>10</v>
      </c>
      <c r="C16" s="199"/>
      <c r="D16" s="49">
        <f>SUM(D11:D15)</f>
        <v>300</v>
      </c>
      <c r="H16" s="46">
        <v>18.98</v>
      </c>
      <c r="I16" s="46">
        <v>9.58</v>
      </c>
    </row>
    <row r="17" spans="1:20">
      <c r="H17" s="46">
        <f>SUM(H9:H16)</f>
        <v>195.75</v>
      </c>
      <c r="I17" s="46">
        <f>SUM(I9:I16)</f>
        <v>51.97</v>
      </c>
      <c r="L17" s="46">
        <f>SUM(L9:L16)</f>
        <v>9</v>
      </c>
    </row>
    <row r="18" spans="1:20">
      <c r="A18" s="200" t="s">
        <v>162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</row>
    <row r="19" spans="1:20">
      <c r="A19" s="196" t="s">
        <v>163</v>
      </c>
      <c r="B19" s="197" t="s">
        <v>164</v>
      </c>
      <c r="C19" s="198" t="s">
        <v>49</v>
      </c>
      <c r="D19" s="198" t="s">
        <v>165</v>
      </c>
      <c r="E19" s="198"/>
      <c r="F19" s="198"/>
      <c r="G19" s="198"/>
      <c r="H19" s="198" t="s">
        <v>166</v>
      </c>
      <c r="I19" s="198" t="s">
        <v>167</v>
      </c>
      <c r="J19" s="198" t="s">
        <v>168</v>
      </c>
      <c r="K19" s="198"/>
      <c r="L19" s="198" t="s">
        <v>169</v>
      </c>
      <c r="M19" s="198" t="s">
        <v>170</v>
      </c>
      <c r="N19" s="198" t="s">
        <v>171</v>
      </c>
      <c r="O19" s="198" t="s">
        <v>172</v>
      </c>
      <c r="P19" s="198" t="s">
        <v>173</v>
      </c>
      <c r="Q19" s="198" t="s">
        <v>174</v>
      </c>
      <c r="R19" s="198" t="s">
        <v>175</v>
      </c>
      <c r="S19" s="198" t="s">
        <v>176</v>
      </c>
      <c r="T19" s="198" t="s">
        <v>177</v>
      </c>
    </row>
    <row r="20" spans="1:20" ht="28.5" customHeight="1">
      <c r="A20" s="196"/>
      <c r="B20" s="197"/>
      <c r="C20" s="198"/>
      <c r="D20" s="42" t="s">
        <v>178</v>
      </c>
      <c r="E20" s="42" t="s">
        <v>179</v>
      </c>
      <c r="F20" s="42" t="s">
        <v>180</v>
      </c>
      <c r="G20" s="42" t="s">
        <v>181</v>
      </c>
      <c r="H20" s="198"/>
      <c r="I20" s="198"/>
      <c r="J20" s="42" t="s">
        <v>182</v>
      </c>
      <c r="K20" s="42" t="s">
        <v>183</v>
      </c>
      <c r="L20" s="198"/>
      <c r="M20" s="198"/>
      <c r="N20" s="198"/>
      <c r="O20" s="198"/>
      <c r="P20" s="198"/>
      <c r="Q20" s="198"/>
      <c r="R20" s="198"/>
      <c r="S20" s="198"/>
      <c r="T20" s="198"/>
    </row>
    <row r="21" spans="1:20">
      <c r="A21" s="43" t="s">
        <v>184</v>
      </c>
      <c r="B21" s="42">
        <v>0.6</v>
      </c>
      <c r="C21" s="42"/>
      <c r="D21" s="42">
        <v>1.6</v>
      </c>
      <c r="E21" s="42">
        <v>1.6</v>
      </c>
      <c r="F21" s="42">
        <f>(D21+E21)/2</f>
        <v>1.6</v>
      </c>
      <c r="G21" s="42">
        <f>(VLOOKUP(B21,'[1]qtde berço'!$A$5:$I$15,4)/100)+F21</f>
        <v>1.7050000000000001</v>
      </c>
      <c r="H21" s="42">
        <f>IF(F21&lt;=1.5,VLOOKUP(B21,'[1]largura da vala'!$A$4:$C$10,2,0),IF(F21&gt;1.5,VLOOKUP(B21,'[1]largura da vala'!$A$4:$C$10,3,0)))</f>
        <v>1.3</v>
      </c>
      <c r="I21" s="42">
        <f>H21*C21</f>
        <v>0</v>
      </c>
      <c r="J21" s="42">
        <f>IF(F21&lt;=3,G21*H21*C21,0)</f>
        <v>0</v>
      </c>
      <c r="K21" s="42">
        <f>IF(F21&gt;3,G21*H21*C21,0)</f>
        <v>0</v>
      </c>
      <c r="L21" s="42">
        <f>H21*C21</f>
        <v>0</v>
      </c>
      <c r="M21" s="42">
        <f>IF(F21&gt;1.7,F21*C21*2,0)</f>
        <v>0</v>
      </c>
      <c r="N21" s="42">
        <f>VLOOKUP(B21,'[1]qtde berço'!$A$5:$I$15,7,0)*C21</f>
        <v>0</v>
      </c>
      <c r="O21" s="42">
        <f>VLOOKUP(B21,'[1]qtde berço'!$A$5:$I$15,8,FALSE)*'[1]Quant. Drenagem'!C26</f>
        <v>0</v>
      </c>
      <c r="P21" s="42">
        <f>VLOOKUP(B21,'[1]qtde berço'!$A$5:$I$15,9)*C21</f>
        <v>0</v>
      </c>
      <c r="Q21" s="42">
        <f>((F21-B21)*H21*C21)-P21</f>
        <v>0</v>
      </c>
      <c r="R21" s="42"/>
      <c r="S21" s="42"/>
      <c r="T21" s="42"/>
    </row>
    <row r="22" spans="1:20">
      <c r="A22" s="202" t="s">
        <v>10</v>
      </c>
      <c r="B22" s="202"/>
      <c r="C22" s="44">
        <f>SUM(C21:C21)</f>
        <v>0</v>
      </c>
      <c r="D22" s="203"/>
      <c r="E22" s="203"/>
      <c r="F22" s="203"/>
      <c r="G22" s="203"/>
      <c r="H22" s="203"/>
      <c r="I22" s="44">
        <f t="shared" ref="I22:Q22" si="10">SUM(I21:I21)</f>
        <v>0</v>
      </c>
      <c r="J22" s="44">
        <f t="shared" si="10"/>
        <v>0</v>
      </c>
      <c r="K22" s="44">
        <f t="shared" si="10"/>
        <v>0</v>
      </c>
      <c r="L22" s="44">
        <f t="shared" si="10"/>
        <v>0</v>
      </c>
      <c r="M22" s="44">
        <f t="shared" si="10"/>
        <v>0</v>
      </c>
      <c r="N22" s="44">
        <f t="shared" si="10"/>
        <v>0</v>
      </c>
      <c r="O22" s="44">
        <f t="shared" si="10"/>
        <v>0</v>
      </c>
      <c r="P22" s="44">
        <f t="shared" si="10"/>
        <v>0</v>
      </c>
      <c r="Q22" s="44">
        <f t="shared" si="10"/>
        <v>0</v>
      </c>
      <c r="R22" s="44"/>
      <c r="S22" s="44"/>
      <c r="T22" s="44"/>
    </row>
    <row r="23" spans="1:20">
      <c r="B23" s="205" t="s">
        <v>185</v>
      </c>
      <c r="C23" s="205"/>
      <c r="D23" s="205"/>
    </row>
    <row r="24" spans="1:20">
      <c r="B24" s="206" t="s">
        <v>186</v>
      </c>
      <c r="C24" s="206"/>
      <c r="D24" s="206" t="s">
        <v>187</v>
      </c>
    </row>
    <row r="25" spans="1:20">
      <c r="B25" s="52" t="s">
        <v>37</v>
      </c>
      <c r="C25" s="52" t="s">
        <v>188</v>
      </c>
      <c r="D25" s="206"/>
      <c r="R25" s="46" t="s">
        <v>189</v>
      </c>
      <c r="S25" s="46" t="s">
        <v>190</v>
      </c>
    </row>
    <row r="26" spans="1:20" ht="22.5">
      <c r="B26" s="53">
        <v>0.4</v>
      </c>
      <c r="C26" s="54">
        <f>B26*1000</f>
        <v>400</v>
      </c>
      <c r="D26" s="54"/>
      <c r="I26" s="46" t="s">
        <v>191</v>
      </c>
      <c r="J26" s="46">
        <v>140</v>
      </c>
      <c r="L26" s="46" t="s">
        <v>192</v>
      </c>
      <c r="M26" s="46">
        <f>L7*0.2</f>
        <v>64</v>
      </c>
      <c r="Q26" s="46" t="s">
        <v>193</v>
      </c>
      <c r="R26" s="47">
        <f>((3.14*0.9*0.9)/4)*C4</f>
        <v>31.7925</v>
      </c>
      <c r="S26" s="47">
        <f>((3.14*0.5*0.5)/4)*C6</f>
        <v>9.8125</v>
      </c>
      <c r="T26" s="46">
        <f>R26+S26</f>
        <v>41.605000000000004</v>
      </c>
    </row>
    <row r="27" spans="1:20" ht="22.5">
      <c r="B27" s="53">
        <v>0.6</v>
      </c>
      <c r="C27" s="54">
        <f>B27*1000</f>
        <v>600</v>
      </c>
      <c r="D27" s="55">
        <f>C21</f>
        <v>0</v>
      </c>
      <c r="I27" s="46" t="s">
        <v>194</v>
      </c>
      <c r="J27" s="46">
        <f>(J28+J29)*5</f>
        <v>75</v>
      </c>
      <c r="L27" s="46" t="s">
        <v>195</v>
      </c>
      <c r="M27" s="46">
        <f>0.15*C7</f>
        <v>45</v>
      </c>
    </row>
    <row r="28" spans="1:20">
      <c r="B28" s="53">
        <v>0.8</v>
      </c>
      <c r="C28" s="54">
        <f>B28*1000</f>
        <v>800</v>
      </c>
      <c r="D28" s="55"/>
      <c r="I28" s="46" t="s">
        <v>196</v>
      </c>
      <c r="J28" s="46">
        <v>10</v>
      </c>
      <c r="L28" s="46" t="s">
        <v>197</v>
      </c>
      <c r="M28" s="46">
        <f>C4*0.2</f>
        <v>10</v>
      </c>
      <c r="Q28" s="46" t="s">
        <v>198</v>
      </c>
      <c r="R28" s="46">
        <f>C4*2</f>
        <v>100</v>
      </c>
    </row>
    <row r="29" spans="1:20" ht="22.5">
      <c r="B29" s="53">
        <v>1</v>
      </c>
      <c r="C29" s="54">
        <f>B29*1000</f>
        <v>1000</v>
      </c>
      <c r="D29" s="54">
        <f>SUMIF($B$4:$B$6,B29,$C$4:$C$6)</f>
        <v>0</v>
      </c>
      <c r="I29" s="46" t="s">
        <v>199</v>
      </c>
      <c r="J29" s="46">
        <v>5</v>
      </c>
      <c r="L29" s="46" t="s">
        <v>200</v>
      </c>
      <c r="M29" s="46">
        <f>C7*1.5*2</f>
        <v>900</v>
      </c>
    </row>
    <row r="30" spans="1:20">
      <c r="B30" s="53">
        <v>1.2</v>
      </c>
      <c r="C30" s="54">
        <f>B30*1000</f>
        <v>1200</v>
      </c>
      <c r="D30" s="54">
        <f>SUMIF($B$4:$B$6,B30,$C$4:$C$6)</f>
        <v>0</v>
      </c>
      <c r="I30" s="46" t="s">
        <v>201</v>
      </c>
      <c r="J30" s="46">
        <v>2</v>
      </c>
    </row>
    <row r="31" spans="1:20">
      <c r="B31" s="204" t="s">
        <v>10</v>
      </c>
      <c r="C31" s="204"/>
      <c r="D31" s="52">
        <f>SUM(D26:D30)</f>
        <v>0</v>
      </c>
      <c r="I31" s="46" t="s">
        <v>203</v>
      </c>
      <c r="J31" s="46">
        <f>J30*2</f>
        <v>4</v>
      </c>
    </row>
    <row r="32" spans="1:20">
      <c r="I32" s="46" t="s">
        <v>227</v>
      </c>
      <c r="J32" s="46">
        <f>D16</f>
        <v>300</v>
      </c>
    </row>
  </sheetData>
  <mergeCells count="46">
    <mergeCell ref="B31:C31"/>
    <mergeCell ref="S19:S20"/>
    <mergeCell ref="T19:T20"/>
    <mergeCell ref="A22:B22"/>
    <mergeCell ref="D22:H22"/>
    <mergeCell ref="B23:D23"/>
    <mergeCell ref="B24:C24"/>
    <mergeCell ref="D24:D25"/>
    <mergeCell ref="M19:M20"/>
    <mergeCell ref="N19:N20"/>
    <mergeCell ref="O19:O20"/>
    <mergeCell ref="P19:P20"/>
    <mergeCell ref="Q19:Q20"/>
    <mergeCell ref="R19:R20"/>
    <mergeCell ref="S2:S3"/>
    <mergeCell ref="B16:C16"/>
    <mergeCell ref="A18:T18"/>
    <mergeCell ref="A19:A20"/>
    <mergeCell ref="B19:B20"/>
    <mergeCell ref="C19:C20"/>
    <mergeCell ref="D19:G19"/>
    <mergeCell ref="H19:H20"/>
    <mergeCell ref="I19:I20"/>
    <mergeCell ref="J19:K19"/>
    <mergeCell ref="L19:L20"/>
    <mergeCell ref="A7:B7"/>
    <mergeCell ref="D7:H7"/>
    <mergeCell ref="B8:D8"/>
    <mergeCell ref="B9:C9"/>
    <mergeCell ref="D9:D10"/>
    <mergeCell ref="A1:T1"/>
    <mergeCell ref="A2:A3"/>
    <mergeCell ref="B2:B3"/>
    <mergeCell ref="C2:C3"/>
    <mergeCell ref="D2:G2"/>
    <mergeCell ref="H2:H3"/>
    <mergeCell ref="I2:I3"/>
    <mergeCell ref="J2:K2"/>
    <mergeCell ref="L2:L3"/>
    <mergeCell ref="M2:M3"/>
    <mergeCell ref="T2:T3"/>
    <mergeCell ref="N2:N3"/>
    <mergeCell ref="O2:O3"/>
    <mergeCell ref="P2:P3"/>
    <mergeCell ref="Q2:Q3"/>
    <mergeCell ref="R2:R3"/>
  </mergeCells>
  <pageMargins left="0.51180555555555596" right="0.51180555555555596" top="0.78680555555555598" bottom="0.78680555555555598" header="0.31388888888888899" footer="0.31388888888888899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PLANILHA GERAL</vt:lpstr>
      <vt:lpstr>CRONOGRAMA GERAL</vt:lpstr>
      <vt:lpstr>QUANTITATIVO E MEMÓRIA DE PAVI.</vt:lpstr>
      <vt:lpstr>Quant. Drenagem</vt:lpstr>
      <vt:lpstr>'CRONOGRAMA GERAL'!Area_de_impressao</vt:lpstr>
      <vt:lpstr>'PLANILHA GERAL'!Area_de_impressao</vt:lpstr>
      <vt:lpstr>'QUANTITATIVO E MEMÓRIA DE PAVI.'!Area_de_impressao</vt:lpstr>
    </vt:vector>
  </TitlesOfParts>
  <Company>CAMG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CAMG</dc:creator>
  <cp:lastModifiedBy>Usuario</cp:lastModifiedBy>
  <cp:lastPrinted>2020-01-28T11:38:15Z</cp:lastPrinted>
  <dcterms:created xsi:type="dcterms:W3CDTF">2012-03-15T14:32:00Z</dcterms:created>
  <dcterms:modified xsi:type="dcterms:W3CDTF">2020-03-11T17:57:10Z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1046-10.2.0.7587</vt:lpwstr>
  </property>
</Properties>
</file>